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ublishers\The Great Archive\Rich Longetalos\"/>
    </mc:Choice>
  </mc:AlternateContent>
  <xr:revisionPtr revIDLastSave="0" documentId="8_{98E3DBDA-BE7B-4210-8053-1896CC622FB6}" xr6:coauthVersionLast="47" xr6:coauthVersionMax="47" xr10:uidLastSave="{00000000-0000-0000-0000-000000000000}"/>
  <bookViews>
    <workbookView xWindow="1080" yWindow="1110" windowWidth="33210" windowHeight="19450" firstSheet="2" activeTab="4" xr2:uid="{539B3C75-2BE0-41C8-9C80-F028B86F3749}"/>
  </bookViews>
  <sheets>
    <sheet name="Oerth demographics" sheetId="2" r:id="rId1"/>
    <sheet name="Area" sheetId="4" r:id="rId2"/>
    <sheet name="Density" sheetId="5" r:id="rId3"/>
    <sheet name="Revised populations" sheetId="6" r:id="rId4"/>
    <sheet name="Population by age" sheetId="7" r:id="rId5"/>
    <sheet name="Sheet1" sheetId="8" r:id="rId6"/>
  </sheets>
  <definedNames>
    <definedName name="_xlnm._FilterDatabase" localSheetId="2" hidden="1">Density!$B$5:$F$67</definedName>
    <definedName name="_xlnm._FilterDatabase" localSheetId="3" hidden="1">'Revised populations'!$T$12:$U$74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5" i="7" l="1"/>
  <c r="G152" i="7"/>
  <c r="G131" i="7"/>
  <c r="D177" i="7" s="1"/>
  <c r="G32" i="7"/>
  <c r="D175" i="7" l="1"/>
  <c r="D176" i="7"/>
  <c r="P14" i="7"/>
  <c r="D135" i="7"/>
  <c r="D59" i="7"/>
  <c r="D320" i="7"/>
  <c r="D316" i="7"/>
  <c r="H290" i="7"/>
  <c r="I291" i="7" s="1"/>
  <c r="J292" i="7" s="1"/>
  <c r="K293" i="7" s="1"/>
  <c r="L294" i="7" s="1"/>
  <c r="M295" i="7" s="1"/>
  <c r="N296" i="7" s="1"/>
  <c r="O297" i="7" s="1"/>
  <c r="P298" i="7" s="1"/>
  <c r="Q299" i="7" s="1"/>
  <c r="R300" i="7" s="1"/>
  <c r="S301" i="7" s="1"/>
  <c r="T302" i="7" s="1"/>
  <c r="D289" i="7"/>
  <c r="G289" i="7" s="1"/>
  <c r="D319" i="7" s="1"/>
  <c r="D275" i="7"/>
  <c r="D274" i="7"/>
  <c r="D273" i="7"/>
  <c r="D272" i="7"/>
  <c r="D178" i="7"/>
  <c r="D174" i="7"/>
  <c r="D62" i="7"/>
  <c r="D61" i="7"/>
  <c r="D60" i="7"/>
  <c r="J246" i="7"/>
  <c r="L247" i="7" s="1"/>
  <c r="N248" i="7" s="1"/>
  <c r="P249" i="7" s="1"/>
  <c r="R250" i="7" s="1"/>
  <c r="T251" i="7" s="1"/>
  <c r="V252" i="7" s="1"/>
  <c r="X253" i="7" s="1"/>
  <c r="Z254" i="7" s="1"/>
  <c r="AB255" i="7" s="1"/>
  <c r="AD256" i="7" s="1"/>
  <c r="AF257" i="7" s="1"/>
  <c r="AH258" i="7" s="1"/>
  <c r="AJ259" i="7" s="1"/>
  <c r="AL260" i="7" s="1"/>
  <c r="AN261" i="7" s="1"/>
  <c r="AP262" i="7" s="1"/>
  <c r="AR263" i="7" s="1"/>
  <c r="AT264" i="7" s="1"/>
  <c r="AV265" i="7" s="1"/>
  <c r="AX266" i="7" s="1"/>
  <c r="AZ267" i="7" s="1"/>
  <c r="BB268" i="7" s="1"/>
  <c r="BD269" i="7" s="1"/>
  <c r="BF270" i="7" s="1"/>
  <c r="BH271" i="7" s="1"/>
  <c r="BJ272" i="7" s="1"/>
  <c r="BL273" i="7" s="1"/>
  <c r="BN274" i="7" s="1"/>
  <c r="I246" i="7"/>
  <c r="H246" i="7"/>
  <c r="J247" i="7" s="1"/>
  <c r="L248" i="7" s="1"/>
  <c r="N249" i="7" s="1"/>
  <c r="P250" i="7" s="1"/>
  <c r="R251" i="7" s="1"/>
  <c r="T252" i="7" s="1"/>
  <c r="V253" i="7" s="1"/>
  <c r="X254" i="7" s="1"/>
  <c r="Z255" i="7" s="1"/>
  <c r="AB256" i="7" s="1"/>
  <c r="AD257" i="7" s="1"/>
  <c r="AF258" i="7" s="1"/>
  <c r="AH259" i="7" s="1"/>
  <c r="AJ260" i="7" s="1"/>
  <c r="AL261" i="7" s="1"/>
  <c r="AN262" i="7" s="1"/>
  <c r="AP263" i="7" s="1"/>
  <c r="AR264" i="7" s="1"/>
  <c r="AT265" i="7" s="1"/>
  <c r="AV266" i="7" s="1"/>
  <c r="AX267" i="7" s="1"/>
  <c r="AZ268" i="7" s="1"/>
  <c r="BB269" i="7" s="1"/>
  <c r="BD270" i="7" s="1"/>
  <c r="BF271" i="7" s="1"/>
  <c r="BH272" i="7" s="1"/>
  <c r="BJ273" i="7" s="1"/>
  <c r="BL274" i="7" s="1"/>
  <c r="D191" i="7"/>
  <c r="N132" i="7"/>
  <c r="T133" i="7" s="1"/>
  <c r="M132" i="7"/>
  <c r="R133" i="7" s="1"/>
  <c r="W134" i="7" s="1"/>
  <c r="AB135" i="7" s="1"/>
  <c r="AG136" i="7" s="1"/>
  <c r="AL137" i="7" s="1"/>
  <c r="AQ138" i="7" s="1"/>
  <c r="AV139" i="7" s="1"/>
  <c r="BA140" i="7" s="1"/>
  <c r="BF141" i="7" s="1"/>
  <c r="BK142" i="7" s="1"/>
  <c r="BP143" i="7" s="1"/>
  <c r="BU144" i="7" s="1"/>
  <c r="BZ145" i="7" s="1"/>
  <c r="CE146" i="7" s="1"/>
  <c r="L132" i="7"/>
  <c r="Q133" i="7" s="1"/>
  <c r="V134" i="7" s="1"/>
  <c r="AA135" i="7" s="1"/>
  <c r="K132" i="7"/>
  <c r="J132" i="7"/>
  <c r="N133" i="7" s="1"/>
  <c r="D87" i="7"/>
  <c r="G87" i="7" s="1"/>
  <c r="D117" i="7" s="1"/>
  <c r="J33" i="7"/>
  <c r="L34" i="7" s="1"/>
  <c r="N35" i="7" s="1"/>
  <c r="P36" i="7" s="1"/>
  <c r="R37" i="7" s="1"/>
  <c r="T38" i="7" s="1"/>
  <c r="V39" i="7" s="1"/>
  <c r="X40" i="7" s="1"/>
  <c r="Z41" i="7" s="1"/>
  <c r="AB42" i="7" s="1"/>
  <c r="AD43" i="7" s="1"/>
  <c r="AF44" i="7" s="1"/>
  <c r="AH45" i="7" s="1"/>
  <c r="AJ46" i="7" s="1"/>
  <c r="AL47" i="7" s="1"/>
  <c r="AN48" i="7" s="1"/>
  <c r="AP49" i="7" s="1"/>
  <c r="AR50" i="7" s="1"/>
  <c r="AT51" i="7" s="1"/>
  <c r="AV52" i="7" s="1"/>
  <c r="AX53" i="7" s="1"/>
  <c r="AZ54" i="7" s="1"/>
  <c r="BB55" i="7" s="1"/>
  <c r="BD56" i="7" s="1"/>
  <c r="BF57" i="7" s="1"/>
  <c r="BH58" i="7" s="1"/>
  <c r="BJ59" i="7" s="1"/>
  <c r="BL60" i="7" s="1"/>
  <c r="BN61" i="7" s="1"/>
  <c r="BP62" i="7" s="1"/>
  <c r="BR63" i="7" s="1"/>
  <c r="BT64" i="7" s="1"/>
  <c r="BV65" i="7" s="1"/>
  <c r="BX66" i="7" s="1"/>
  <c r="BZ67" i="7" s="1"/>
  <c r="CB68" i="7" s="1"/>
  <c r="CD69" i="7" s="1"/>
  <c r="CF70" i="7" s="1"/>
  <c r="CH71" i="7" s="1"/>
  <c r="CJ72" i="7" s="1"/>
  <c r="CL73" i="7" s="1"/>
  <c r="CN74" i="7" s="1"/>
  <c r="CP75" i="7" s="1"/>
  <c r="CR76" i="7" s="1"/>
  <c r="CT77" i="7" s="1"/>
  <c r="CV78" i="7" s="1"/>
  <c r="CX79" i="7" s="1"/>
  <c r="CZ80" i="7" s="1"/>
  <c r="DB81" i="7" s="1"/>
  <c r="DD82" i="7" s="1"/>
  <c r="I33" i="7"/>
  <c r="K34" i="7" s="1"/>
  <c r="M35" i="7" s="1"/>
  <c r="O36" i="7" s="1"/>
  <c r="Q37" i="7" s="1"/>
  <c r="S38" i="7" s="1"/>
  <c r="U39" i="7" s="1"/>
  <c r="W40" i="7" s="1"/>
  <c r="Y41" i="7" s="1"/>
  <c r="AA42" i="7" s="1"/>
  <c r="AC43" i="7" s="1"/>
  <c r="AE44" i="7" s="1"/>
  <c r="AG45" i="7" s="1"/>
  <c r="AI46" i="7" s="1"/>
  <c r="AK47" i="7" s="1"/>
  <c r="AM48" i="7" s="1"/>
  <c r="AO49" i="7" s="1"/>
  <c r="AQ50" i="7" s="1"/>
  <c r="AS51" i="7" s="1"/>
  <c r="AU52" i="7" s="1"/>
  <c r="AW53" i="7" s="1"/>
  <c r="AY54" i="7" s="1"/>
  <c r="BA55" i="7" s="1"/>
  <c r="BC56" i="7" s="1"/>
  <c r="BE57" i="7" s="1"/>
  <c r="BG58" i="7" s="1"/>
  <c r="BI59" i="7" s="1"/>
  <c r="BK60" i="7" s="1"/>
  <c r="BM61" i="7" s="1"/>
  <c r="BO62" i="7" s="1"/>
  <c r="BQ63" i="7" s="1"/>
  <c r="BS64" i="7" s="1"/>
  <c r="BU65" i="7" s="1"/>
  <c r="BW66" i="7" s="1"/>
  <c r="BY67" i="7" s="1"/>
  <c r="CA68" i="7" s="1"/>
  <c r="CC69" i="7" s="1"/>
  <c r="CE70" i="7" s="1"/>
  <c r="CG71" i="7" s="1"/>
  <c r="CI72" i="7" s="1"/>
  <c r="CK73" i="7" s="1"/>
  <c r="CM74" i="7" s="1"/>
  <c r="CO75" i="7" s="1"/>
  <c r="CQ76" i="7" s="1"/>
  <c r="CS77" i="7" s="1"/>
  <c r="CU78" i="7" s="1"/>
  <c r="CW79" i="7" s="1"/>
  <c r="CY80" i="7" s="1"/>
  <c r="DA81" i="7" s="1"/>
  <c r="H33" i="7"/>
  <c r="J34" i="7" s="1"/>
  <c r="L35" i="7" s="1"/>
  <c r="N36" i="7" s="1"/>
  <c r="P37" i="7" s="1"/>
  <c r="R38" i="7" s="1"/>
  <c r="T39" i="7" s="1"/>
  <c r="V40" i="7" s="1"/>
  <c r="X41" i="7" s="1"/>
  <c r="Z42" i="7" s="1"/>
  <c r="AB43" i="7" s="1"/>
  <c r="AD44" i="7" s="1"/>
  <c r="AF45" i="7" s="1"/>
  <c r="AH46" i="7" s="1"/>
  <c r="AJ47" i="7" s="1"/>
  <c r="AL48" i="7" s="1"/>
  <c r="AN49" i="7" s="1"/>
  <c r="AP50" i="7" s="1"/>
  <c r="AR51" i="7" s="1"/>
  <c r="AT52" i="7" s="1"/>
  <c r="AV53" i="7" s="1"/>
  <c r="AX54" i="7" s="1"/>
  <c r="AZ55" i="7" s="1"/>
  <c r="BB56" i="7" s="1"/>
  <c r="BD57" i="7" s="1"/>
  <c r="BF58" i="7" s="1"/>
  <c r="BH59" i="7" s="1"/>
  <c r="BJ60" i="7" s="1"/>
  <c r="BL61" i="7" s="1"/>
  <c r="BN62" i="7" s="1"/>
  <c r="BP63" i="7" s="1"/>
  <c r="BR64" i="7" s="1"/>
  <c r="BT65" i="7" s="1"/>
  <c r="BV66" i="7" s="1"/>
  <c r="BX67" i="7" s="1"/>
  <c r="BZ68" i="7" s="1"/>
  <c r="CB69" i="7" s="1"/>
  <c r="CD70" i="7" s="1"/>
  <c r="CF71" i="7" s="1"/>
  <c r="CH72" i="7" s="1"/>
  <c r="CJ73" i="7" s="1"/>
  <c r="CL74" i="7" s="1"/>
  <c r="CN75" i="7" s="1"/>
  <c r="CP76" i="7" s="1"/>
  <c r="CR77" i="7" s="1"/>
  <c r="CT78" i="7" s="1"/>
  <c r="CV79" i="7" s="1"/>
  <c r="CX80" i="7" s="1"/>
  <c r="CZ81" i="7" s="1"/>
  <c r="DB82" i="7" s="1"/>
  <c r="H130" i="7"/>
  <c r="I130" i="7" s="1"/>
  <c r="J130" i="7" s="1"/>
  <c r="K130" i="7" s="1"/>
  <c r="L130" i="7" s="1"/>
  <c r="M130" i="7" s="1"/>
  <c r="N130" i="7" s="1"/>
  <c r="O130" i="7" s="1"/>
  <c r="P130" i="7" s="1"/>
  <c r="Q130" i="7" s="1"/>
  <c r="R130" i="7" s="1"/>
  <c r="S130" i="7" s="1"/>
  <c r="T130" i="7" s="1"/>
  <c r="U130" i="7" s="1"/>
  <c r="V130" i="7" s="1"/>
  <c r="W130" i="7" s="1"/>
  <c r="X130" i="7" s="1"/>
  <c r="Y130" i="7" s="1"/>
  <c r="Z130" i="7" s="1"/>
  <c r="AA130" i="7" s="1"/>
  <c r="AB130" i="7" s="1"/>
  <c r="AC130" i="7" s="1"/>
  <c r="AD130" i="7" s="1"/>
  <c r="AE130" i="7" s="1"/>
  <c r="AF130" i="7" s="1"/>
  <c r="AG130" i="7" s="1"/>
  <c r="AH130" i="7" s="1"/>
  <c r="AI130" i="7" s="1"/>
  <c r="AJ130" i="7" s="1"/>
  <c r="AK130" i="7" s="1"/>
  <c r="AL130" i="7" s="1"/>
  <c r="AM130" i="7" s="1"/>
  <c r="AN130" i="7" s="1"/>
  <c r="AO130" i="7" s="1"/>
  <c r="AP130" i="7" s="1"/>
  <c r="AQ130" i="7" s="1"/>
  <c r="AR130" i="7" s="1"/>
  <c r="AS130" i="7" s="1"/>
  <c r="AT130" i="7" s="1"/>
  <c r="AU130" i="7" s="1"/>
  <c r="AV130" i="7" s="1"/>
  <c r="AW130" i="7" s="1"/>
  <c r="AX130" i="7" s="1"/>
  <c r="AY130" i="7" s="1"/>
  <c r="AZ130" i="7" s="1"/>
  <c r="BA130" i="7" s="1"/>
  <c r="BB130" i="7" s="1"/>
  <c r="BC130" i="7" s="1"/>
  <c r="BD130" i="7" s="1"/>
  <c r="BE130" i="7" s="1"/>
  <c r="BF130" i="7" s="1"/>
  <c r="BG130" i="7" s="1"/>
  <c r="BH130" i="7" s="1"/>
  <c r="BI130" i="7" s="1"/>
  <c r="BJ130" i="7" s="1"/>
  <c r="BK130" i="7" s="1"/>
  <c r="BL130" i="7" s="1"/>
  <c r="BM130" i="7" s="1"/>
  <c r="BN130" i="7" s="1"/>
  <c r="BO130" i="7" s="1"/>
  <c r="BP130" i="7" s="1"/>
  <c r="BQ130" i="7" s="1"/>
  <c r="BR130" i="7" s="1"/>
  <c r="BS130" i="7" s="1"/>
  <c r="BT130" i="7" s="1"/>
  <c r="BU130" i="7" s="1"/>
  <c r="BV130" i="7" s="1"/>
  <c r="BW130" i="7" s="1"/>
  <c r="BX130" i="7" s="1"/>
  <c r="BY130" i="7" s="1"/>
  <c r="BZ130" i="7" s="1"/>
  <c r="CA130" i="7" s="1"/>
  <c r="CB130" i="7" s="1"/>
  <c r="CC130" i="7" s="1"/>
  <c r="CD130" i="7" s="1"/>
  <c r="CE130" i="7" s="1"/>
  <c r="H31" i="7"/>
  <c r="I31" i="7" s="1"/>
  <c r="J31" i="7" s="1"/>
  <c r="K31" i="7" s="1"/>
  <c r="L31" i="7" s="1"/>
  <c r="M31" i="7" s="1"/>
  <c r="N31" i="7" s="1"/>
  <c r="O31" i="7" s="1"/>
  <c r="P31" i="7" s="1"/>
  <c r="Q31" i="7" s="1"/>
  <c r="R31" i="7" s="1"/>
  <c r="S31" i="7" s="1"/>
  <c r="T31" i="7" s="1"/>
  <c r="U31" i="7" s="1"/>
  <c r="V31" i="7" s="1"/>
  <c r="W31" i="7" s="1"/>
  <c r="X31" i="7" s="1"/>
  <c r="Y31" i="7" s="1"/>
  <c r="Z31" i="7" s="1"/>
  <c r="AA31" i="7" s="1"/>
  <c r="AB31" i="7" s="1"/>
  <c r="AC31" i="7" s="1"/>
  <c r="AD31" i="7" s="1"/>
  <c r="AE31" i="7" s="1"/>
  <c r="AF31" i="7" s="1"/>
  <c r="AG31" i="7" s="1"/>
  <c r="AH31" i="7" s="1"/>
  <c r="AI31" i="7" s="1"/>
  <c r="AJ31" i="7" s="1"/>
  <c r="AK31" i="7" s="1"/>
  <c r="AL31" i="7" s="1"/>
  <c r="AM31" i="7" s="1"/>
  <c r="AN31" i="7" s="1"/>
  <c r="AO31" i="7" s="1"/>
  <c r="AP31" i="7" s="1"/>
  <c r="AQ31" i="7" s="1"/>
  <c r="AR31" i="7" s="1"/>
  <c r="AS31" i="7" s="1"/>
  <c r="AT31" i="7" s="1"/>
  <c r="AU31" i="7" s="1"/>
  <c r="AV31" i="7" s="1"/>
  <c r="AW31" i="7" s="1"/>
  <c r="AX31" i="7" s="1"/>
  <c r="AY31" i="7" s="1"/>
  <c r="AZ31" i="7" s="1"/>
  <c r="BA31" i="7" s="1"/>
  <c r="BB31" i="7" s="1"/>
  <c r="BC31" i="7" s="1"/>
  <c r="BD31" i="7" s="1"/>
  <c r="BE31" i="7" s="1"/>
  <c r="BF31" i="7" s="1"/>
  <c r="BG31" i="7" s="1"/>
  <c r="BH31" i="7" s="1"/>
  <c r="BI31" i="7" s="1"/>
  <c r="BJ31" i="7" s="1"/>
  <c r="BK31" i="7" s="1"/>
  <c r="BL31" i="7" s="1"/>
  <c r="BM31" i="7" s="1"/>
  <c r="BN31" i="7" s="1"/>
  <c r="BO31" i="7" s="1"/>
  <c r="BP31" i="7" s="1"/>
  <c r="BQ31" i="7" s="1"/>
  <c r="BR31" i="7" s="1"/>
  <c r="BS31" i="7" s="1"/>
  <c r="BT31" i="7" s="1"/>
  <c r="BU31" i="7" s="1"/>
  <c r="BV31" i="7" s="1"/>
  <c r="BW31" i="7" s="1"/>
  <c r="BX31" i="7" s="1"/>
  <c r="BY31" i="7" s="1"/>
  <c r="BZ31" i="7" s="1"/>
  <c r="CA31" i="7" s="1"/>
  <c r="CB31" i="7" s="1"/>
  <c r="CC31" i="7" s="1"/>
  <c r="CD31" i="7" s="1"/>
  <c r="CE31" i="7" s="1"/>
  <c r="CF31" i="7" s="1"/>
  <c r="CG31" i="7" s="1"/>
  <c r="CH31" i="7" s="1"/>
  <c r="CI31" i="7" s="1"/>
  <c r="CJ31" i="7" s="1"/>
  <c r="CK31" i="7" s="1"/>
  <c r="CL31" i="7" s="1"/>
  <c r="CM31" i="7" s="1"/>
  <c r="CN31" i="7" s="1"/>
  <c r="CO31" i="7" s="1"/>
  <c r="CP31" i="7" s="1"/>
  <c r="CQ31" i="7" s="1"/>
  <c r="CR31" i="7" s="1"/>
  <c r="CS31" i="7" s="1"/>
  <c r="CT31" i="7" s="1"/>
  <c r="CU31" i="7" s="1"/>
  <c r="CV31" i="7" s="1"/>
  <c r="CW31" i="7" s="1"/>
  <c r="CX31" i="7" s="1"/>
  <c r="CY31" i="7" s="1"/>
  <c r="CZ31" i="7" s="1"/>
  <c r="DA31" i="7" s="1"/>
  <c r="DB31" i="7" s="1"/>
  <c r="DC31" i="7" s="1"/>
  <c r="N13" i="7"/>
  <c r="N11" i="7"/>
  <c r="C273" i="7" s="1"/>
  <c r="N9" i="7"/>
  <c r="C227" i="7" s="1"/>
  <c r="N7" i="7"/>
  <c r="C177" i="7" s="1"/>
  <c r="N5" i="7"/>
  <c r="C116" i="7" s="1"/>
  <c r="C322" i="7"/>
  <c r="C277" i="7"/>
  <c r="C278" i="7" s="1"/>
  <c r="C231" i="7"/>
  <c r="C180" i="7"/>
  <c r="C119" i="7"/>
  <c r="C64" i="7"/>
  <c r="I153" i="7"/>
  <c r="K154" i="7" s="1"/>
  <c r="M155" i="7" s="1"/>
  <c r="O156" i="7" s="1"/>
  <c r="Q157" i="7" s="1"/>
  <c r="S158" i="7" s="1"/>
  <c r="U159" i="7" s="1"/>
  <c r="W160" i="7" s="1"/>
  <c r="Y161" i="7" s="1"/>
  <c r="AA162" i="7" s="1"/>
  <c r="AC163" i="7" s="1"/>
  <c r="AE164" i="7" s="1"/>
  <c r="AG165" i="7" s="1"/>
  <c r="AI166" i="7" s="1"/>
  <c r="AK167" i="7" s="1"/>
  <c r="AM168" i="7" s="1"/>
  <c r="AO169" i="7" s="1"/>
  <c r="AQ170" i="7" s="1"/>
  <c r="AS171" i="7" s="1"/>
  <c r="AU172" i="7" s="1"/>
  <c r="AW173" i="7" s="1"/>
  <c r="J153" i="7"/>
  <c r="L154" i="7" s="1"/>
  <c r="N155" i="7" s="1"/>
  <c r="P156" i="7" s="1"/>
  <c r="R157" i="7" s="1"/>
  <c r="T158" i="7" s="1"/>
  <c r="V159" i="7" s="1"/>
  <c r="X160" i="7" s="1"/>
  <c r="Z161" i="7" s="1"/>
  <c r="AB162" i="7" s="1"/>
  <c r="AD163" i="7" s="1"/>
  <c r="AF164" i="7" s="1"/>
  <c r="AH165" i="7" s="1"/>
  <c r="AJ166" i="7" s="1"/>
  <c r="AL167" i="7" s="1"/>
  <c r="AN168" i="7" s="1"/>
  <c r="AP169" i="7" s="1"/>
  <c r="AR170" i="7" s="1"/>
  <c r="AT171" i="7" s="1"/>
  <c r="AV172" i="7" s="1"/>
  <c r="AX173" i="7" s="1"/>
  <c r="AZ174" i="7" s="1"/>
  <c r="H153" i="7"/>
  <c r="J154" i="7" s="1"/>
  <c r="L155" i="7" s="1"/>
  <c r="N156" i="7" s="1"/>
  <c r="P157" i="7" s="1"/>
  <c r="R158" i="7" s="1"/>
  <c r="T159" i="7" s="1"/>
  <c r="V160" i="7" s="1"/>
  <c r="X161" i="7" s="1"/>
  <c r="Z162" i="7" s="1"/>
  <c r="AB163" i="7" s="1"/>
  <c r="AD164" i="7" s="1"/>
  <c r="AF165" i="7" s="1"/>
  <c r="AH166" i="7" s="1"/>
  <c r="AJ167" i="7" s="1"/>
  <c r="AL168" i="7" s="1"/>
  <c r="AN169" i="7" s="1"/>
  <c r="AP170" i="7" s="1"/>
  <c r="AR171" i="7" s="1"/>
  <c r="AT172" i="7" s="1"/>
  <c r="BB14" i="7"/>
  <c r="BA14" i="7"/>
  <c r="AZ14" i="7"/>
  <c r="AY14" i="7"/>
  <c r="AX14" i="7"/>
  <c r="AW14" i="7"/>
  <c r="BB12" i="7"/>
  <c r="BA12" i="7"/>
  <c r="AZ12" i="7"/>
  <c r="AY12" i="7"/>
  <c r="AX12" i="7"/>
  <c r="AW12" i="7"/>
  <c r="BA10" i="7"/>
  <c r="AZ10" i="7"/>
  <c r="AY10" i="7"/>
  <c r="BB10" i="7"/>
  <c r="AX10" i="7"/>
  <c r="AW10" i="7"/>
  <c r="BB8" i="7"/>
  <c r="BA8" i="7"/>
  <c r="AZ8" i="7"/>
  <c r="AY8" i="7"/>
  <c r="AX8" i="7"/>
  <c r="AW8" i="7"/>
  <c r="BB6" i="7"/>
  <c r="BA6" i="7"/>
  <c r="AZ6" i="7"/>
  <c r="AY6" i="7"/>
  <c r="AX6" i="7"/>
  <c r="AW6" i="7"/>
  <c r="BB4" i="7"/>
  <c r="BA4" i="7"/>
  <c r="AZ4" i="7"/>
  <c r="AY4" i="7"/>
  <c r="AX4" i="7"/>
  <c r="AW4" i="7"/>
  <c r="AR6" i="7"/>
  <c r="N15" i="7"/>
  <c r="C320" i="7" s="1"/>
  <c r="O14" i="7"/>
  <c r="E288" i="7"/>
  <c r="O10" i="7"/>
  <c r="P10" i="7"/>
  <c r="E244" i="7"/>
  <c r="P8" i="7"/>
  <c r="O8" i="7"/>
  <c r="P12" i="7"/>
  <c r="O12" i="7"/>
  <c r="P4" i="7"/>
  <c r="O4" i="7"/>
  <c r="P6" i="7"/>
  <c r="O6" i="7"/>
  <c r="E190" i="7"/>
  <c r="C115" i="7"/>
  <c r="C114" i="7"/>
  <c r="F11" i="8"/>
  <c r="F13" i="8"/>
  <c r="E6" i="8"/>
  <c r="F6" i="8" s="1"/>
  <c r="E7" i="8"/>
  <c r="F7" i="8" s="1"/>
  <c r="E8" i="8"/>
  <c r="F8" i="8" s="1"/>
  <c r="E9" i="8"/>
  <c r="F9" i="8" s="1"/>
  <c r="E10" i="8"/>
  <c r="F10" i="8" s="1"/>
  <c r="E11" i="8"/>
  <c r="E12" i="8"/>
  <c r="F12" i="8" s="1"/>
  <c r="E13" i="8"/>
  <c r="E5" i="8"/>
  <c r="F5" i="8" s="1"/>
  <c r="F14" i="8" s="1"/>
  <c r="F4" i="8"/>
  <c r="B3" i="8"/>
  <c r="E130" i="7"/>
  <c r="C60" i="7"/>
  <c r="AH8" i="7"/>
  <c r="AG8" i="7"/>
  <c r="X8" i="7"/>
  <c r="W8" i="7"/>
  <c r="V8" i="7"/>
  <c r="AH6" i="7"/>
  <c r="AG6" i="7"/>
  <c r="AF6" i="7"/>
  <c r="X6" i="7"/>
  <c r="W6" i="7"/>
  <c r="V6" i="7"/>
  <c r="X4" i="7"/>
  <c r="W4" i="7"/>
  <c r="V4" i="7"/>
  <c r="G191" i="7" l="1"/>
  <c r="G207" i="7"/>
  <c r="D317" i="7"/>
  <c r="D318" i="7"/>
  <c r="DC82" i="7"/>
  <c r="D50" i="7" s="1"/>
  <c r="D51" i="7"/>
  <c r="C65" i="7"/>
  <c r="E65" i="7" s="1"/>
  <c r="I88" i="7"/>
  <c r="K89" i="7" s="1"/>
  <c r="M90" i="7" s="1"/>
  <c r="H88" i="7"/>
  <c r="J89" i="7" s="1"/>
  <c r="L90" i="7" s="1"/>
  <c r="N91" i="7" s="1"/>
  <c r="P92" i="7" s="1"/>
  <c r="R93" i="7" s="1"/>
  <c r="D114" i="7"/>
  <c r="J88" i="7"/>
  <c r="L89" i="7" s="1"/>
  <c r="N90" i="7" s="1"/>
  <c r="P91" i="7" s="1"/>
  <c r="R92" i="7" s="1"/>
  <c r="T93" i="7" s="1"/>
  <c r="V94" i="7" s="1"/>
  <c r="X95" i="7" s="1"/>
  <c r="Z96" i="7" s="1"/>
  <c r="AB97" i="7" s="1"/>
  <c r="AD98" i="7" s="1"/>
  <c r="AF99" i="7" s="1"/>
  <c r="AH100" i="7" s="1"/>
  <c r="AJ101" i="7" s="1"/>
  <c r="AL102" i="7" s="1"/>
  <c r="AN103" i="7" s="1"/>
  <c r="AP104" i="7" s="1"/>
  <c r="D116" i="7"/>
  <c r="D115" i="7"/>
  <c r="C323" i="7"/>
  <c r="E278" i="7"/>
  <c r="C232" i="7"/>
  <c r="E232" i="7" s="1"/>
  <c r="C181" i="7"/>
  <c r="D182" i="7" s="1"/>
  <c r="C120" i="7"/>
  <c r="E120" i="7" s="1"/>
  <c r="O91" i="7"/>
  <c r="Q92" i="7" s="1"/>
  <c r="D89" i="7"/>
  <c r="T94" i="7"/>
  <c r="V95" i="7" s="1"/>
  <c r="X96" i="7" s="1"/>
  <c r="Z97" i="7" s="1"/>
  <c r="AB98" i="7" s="1"/>
  <c r="AD99" i="7" s="1"/>
  <c r="AF100" i="7" s="1"/>
  <c r="AH101" i="7" s="1"/>
  <c r="AJ102" i="7" s="1"/>
  <c r="AL103" i="7" s="1"/>
  <c r="AN104" i="7" s="1"/>
  <c r="D106" i="7" s="1"/>
  <c r="AF136" i="7"/>
  <c r="AK137" i="7" s="1"/>
  <c r="AP138" i="7" s="1"/>
  <c r="AU139" i="7" s="1"/>
  <c r="AZ140" i="7" s="1"/>
  <c r="BE141" i="7" s="1"/>
  <c r="BJ142" i="7" s="1"/>
  <c r="BO143" i="7" s="1"/>
  <c r="BT144" i="7" s="1"/>
  <c r="BY145" i="7" s="1"/>
  <c r="CD146" i="7" s="1"/>
  <c r="D157" i="7" s="1"/>
  <c r="S133" i="7"/>
  <c r="Y134" i="7" s="1"/>
  <c r="O133" i="7"/>
  <c r="T134" i="7" s="1"/>
  <c r="X135" i="7" s="1"/>
  <c r="D143" i="7"/>
  <c r="P133" i="7"/>
  <c r="U134" i="7" s="1"/>
  <c r="Z135" i="7" s="1"/>
  <c r="AE136" i="7" s="1"/>
  <c r="AJ137" i="7" s="1"/>
  <c r="AO138" i="7" s="1"/>
  <c r="AT139" i="7" s="1"/>
  <c r="AY140" i="7" s="1"/>
  <c r="BD141" i="7" s="1"/>
  <c r="BI142" i="7" s="1"/>
  <c r="BN143" i="7" s="1"/>
  <c r="BS144" i="7" s="1"/>
  <c r="BX145" i="7" s="1"/>
  <c r="CC146" i="7" s="1"/>
  <c r="D153" i="7"/>
  <c r="AQ6" i="7" s="1"/>
  <c r="D252" i="7"/>
  <c r="X10" i="7" s="1"/>
  <c r="D170" i="7"/>
  <c r="D133" i="7"/>
  <c r="D142" i="7"/>
  <c r="D43" i="7"/>
  <c r="D91" i="7"/>
  <c r="D92" i="7"/>
  <c r="D90" i="7"/>
  <c r="D100" i="7"/>
  <c r="D101" i="7"/>
  <c r="D256" i="7"/>
  <c r="K247" i="7"/>
  <c r="M248" i="7" s="1"/>
  <c r="D296" i="7"/>
  <c r="U303" i="7"/>
  <c r="D44" i="7"/>
  <c r="D37" i="7"/>
  <c r="D46" i="7"/>
  <c r="D45" i="7"/>
  <c r="D39" i="7"/>
  <c r="D34" i="7"/>
  <c r="D53" i="7"/>
  <c r="D42" i="7"/>
  <c r="D52" i="7"/>
  <c r="D47" i="7"/>
  <c r="D35" i="7"/>
  <c r="D54" i="7"/>
  <c r="D36" i="7"/>
  <c r="D55" i="7"/>
  <c r="D38" i="7"/>
  <c r="BN275" i="7"/>
  <c r="BP276" i="7" s="1"/>
  <c r="BP275" i="7"/>
  <c r="BR276" i="7" s="1"/>
  <c r="I192" i="7"/>
  <c r="M193" i="7" s="1"/>
  <c r="D323" i="7"/>
  <c r="J192" i="7"/>
  <c r="K192" i="7"/>
  <c r="D194" i="7" s="1"/>
  <c r="H208" i="7"/>
  <c r="I209" i="7" s="1"/>
  <c r="J210" i="7" s="1"/>
  <c r="K211" i="7" s="1"/>
  <c r="L212" i="7" s="1"/>
  <c r="M213" i="7" s="1"/>
  <c r="N214" i="7" s="1"/>
  <c r="O215" i="7" s="1"/>
  <c r="P216" i="7" s="1"/>
  <c r="Q217" i="7" s="1"/>
  <c r="R218" i="7" s="1"/>
  <c r="S219" i="7" s="1"/>
  <c r="T220" i="7" s="1"/>
  <c r="U221" i="7" s="1"/>
  <c r="V222" i="7" s="1"/>
  <c r="W223" i="7" s="1"/>
  <c r="X224" i="7" s="1"/>
  <c r="Y225" i="7" s="1"/>
  <c r="Z226" i="7" s="1"/>
  <c r="AA227" i="7" s="1"/>
  <c r="AB228" i="7" s="1"/>
  <c r="AC229" i="7" s="1"/>
  <c r="AD230" i="7" s="1"/>
  <c r="D278" i="7"/>
  <c r="H244" i="7"/>
  <c r="I244" i="7" s="1"/>
  <c r="J244" i="7" s="1"/>
  <c r="K244" i="7" s="1"/>
  <c r="L244" i="7" s="1"/>
  <c r="M244" i="7" s="1"/>
  <c r="N244" i="7" s="1"/>
  <c r="O244" i="7" s="1"/>
  <c r="P244" i="7" s="1"/>
  <c r="Q244" i="7" s="1"/>
  <c r="R244" i="7" s="1"/>
  <c r="S244" i="7" s="1"/>
  <c r="T244" i="7" s="1"/>
  <c r="U244" i="7" s="1"/>
  <c r="V244" i="7" s="1"/>
  <c r="W244" i="7" s="1"/>
  <c r="X244" i="7" s="1"/>
  <c r="Y244" i="7" s="1"/>
  <c r="Z244" i="7" s="1"/>
  <c r="AA244" i="7" s="1"/>
  <c r="AB244" i="7" s="1"/>
  <c r="AC244" i="7" s="1"/>
  <c r="AD244" i="7" s="1"/>
  <c r="AE244" i="7" s="1"/>
  <c r="AF244" i="7" s="1"/>
  <c r="AG244" i="7" s="1"/>
  <c r="AH244" i="7" s="1"/>
  <c r="AI244" i="7" s="1"/>
  <c r="AJ244" i="7" s="1"/>
  <c r="AK244" i="7" s="1"/>
  <c r="AL244" i="7" s="1"/>
  <c r="AM244" i="7" s="1"/>
  <c r="AN244" i="7" s="1"/>
  <c r="AO244" i="7" s="1"/>
  <c r="AP244" i="7" s="1"/>
  <c r="AQ244" i="7" s="1"/>
  <c r="AR244" i="7" s="1"/>
  <c r="AS244" i="7" s="1"/>
  <c r="AT244" i="7" s="1"/>
  <c r="AU244" i="7" s="1"/>
  <c r="AV244" i="7" s="1"/>
  <c r="AW244" i="7" s="1"/>
  <c r="AX244" i="7" s="1"/>
  <c r="AY244" i="7" s="1"/>
  <c r="AZ244" i="7" s="1"/>
  <c r="BA244" i="7" s="1"/>
  <c r="BB244" i="7" s="1"/>
  <c r="BC244" i="7" s="1"/>
  <c r="BD244" i="7" s="1"/>
  <c r="BE244" i="7" s="1"/>
  <c r="BF244" i="7" s="1"/>
  <c r="BG244" i="7" s="1"/>
  <c r="BH244" i="7" s="1"/>
  <c r="BI244" i="7" s="1"/>
  <c r="BJ244" i="7" s="1"/>
  <c r="BK244" i="7" s="1"/>
  <c r="BL244" i="7" s="1"/>
  <c r="BM244" i="7" s="1"/>
  <c r="BN244" i="7" s="1"/>
  <c r="BO244" i="7" s="1"/>
  <c r="BP244" i="7" s="1"/>
  <c r="H206" i="7"/>
  <c r="I206" i="7" s="1"/>
  <c r="J206" i="7" s="1"/>
  <c r="K206" i="7" s="1"/>
  <c r="L206" i="7" s="1"/>
  <c r="M206" i="7" s="1"/>
  <c r="N206" i="7" s="1"/>
  <c r="O206" i="7" s="1"/>
  <c r="P206" i="7" s="1"/>
  <c r="Q206" i="7" s="1"/>
  <c r="R206" i="7" s="1"/>
  <c r="S206" i="7" s="1"/>
  <c r="T206" i="7" s="1"/>
  <c r="U206" i="7" s="1"/>
  <c r="V206" i="7" s="1"/>
  <c r="W206" i="7" s="1"/>
  <c r="X206" i="7" s="1"/>
  <c r="Y206" i="7" s="1"/>
  <c r="Z206" i="7" s="1"/>
  <c r="AA206" i="7" s="1"/>
  <c r="AB206" i="7" s="1"/>
  <c r="AC206" i="7" s="1"/>
  <c r="AD206" i="7" s="1"/>
  <c r="AE206" i="7" s="1"/>
  <c r="AF206" i="7" s="1"/>
  <c r="AG206" i="7" s="1"/>
  <c r="AH206" i="7" s="1"/>
  <c r="AI206" i="7" s="1"/>
  <c r="AJ206" i="7" s="1"/>
  <c r="H86" i="7"/>
  <c r="I86" i="7" s="1"/>
  <c r="J86" i="7" s="1"/>
  <c r="K86" i="7" s="1"/>
  <c r="L86" i="7" s="1"/>
  <c r="M86" i="7" s="1"/>
  <c r="N86" i="7" s="1"/>
  <c r="O86" i="7" s="1"/>
  <c r="P86" i="7" s="1"/>
  <c r="Q86" i="7" s="1"/>
  <c r="R86" i="7" s="1"/>
  <c r="S86" i="7" s="1"/>
  <c r="T86" i="7" s="1"/>
  <c r="U86" i="7" s="1"/>
  <c r="V86" i="7" s="1"/>
  <c r="W86" i="7" s="1"/>
  <c r="X86" i="7" s="1"/>
  <c r="Y86" i="7" s="1"/>
  <c r="Z86" i="7" s="1"/>
  <c r="AA86" i="7" s="1"/>
  <c r="AB86" i="7" s="1"/>
  <c r="AC86" i="7" s="1"/>
  <c r="AD86" i="7" s="1"/>
  <c r="AE86" i="7" s="1"/>
  <c r="AF86" i="7" s="1"/>
  <c r="AG86" i="7" s="1"/>
  <c r="AH86" i="7" s="1"/>
  <c r="AI86" i="7" s="1"/>
  <c r="AJ86" i="7" s="1"/>
  <c r="AK86" i="7" s="1"/>
  <c r="AL86" i="7" s="1"/>
  <c r="AM86" i="7" s="1"/>
  <c r="AN86" i="7" s="1"/>
  <c r="AO86" i="7" s="1"/>
  <c r="D120" i="7"/>
  <c r="H151" i="7"/>
  <c r="I151" i="7" s="1"/>
  <c r="J151" i="7" s="1"/>
  <c r="K151" i="7" s="1"/>
  <c r="L151" i="7" s="1"/>
  <c r="M151" i="7" s="1"/>
  <c r="N151" i="7" s="1"/>
  <c r="O151" i="7" s="1"/>
  <c r="P151" i="7" s="1"/>
  <c r="Q151" i="7" s="1"/>
  <c r="R151" i="7" s="1"/>
  <c r="S151" i="7" s="1"/>
  <c r="T151" i="7" s="1"/>
  <c r="U151" i="7" s="1"/>
  <c r="V151" i="7" s="1"/>
  <c r="W151" i="7" s="1"/>
  <c r="X151" i="7" s="1"/>
  <c r="Y151" i="7" s="1"/>
  <c r="Z151" i="7" s="1"/>
  <c r="AA151" i="7" s="1"/>
  <c r="AB151" i="7" s="1"/>
  <c r="AC151" i="7" s="1"/>
  <c r="AD151" i="7" s="1"/>
  <c r="AE151" i="7" s="1"/>
  <c r="AF151" i="7" s="1"/>
  <c r="AG151" i="7" s="1"/>
  <c r="AH151" i="7" s="1"/>
  <c r="AI151" i="7" s="1"/>
  <c r="AJ151" i="7" s="1"/>
  <c r="AK151" i="7" s="1"/>
  <c r="AL151" i="7" s="1"/>
  <c r="AM151" i="7" s="1"/>
  <c r="AN151" i="7" s="1"/>
  <c r="AO151" i="7" s="1"/>
  <c r="AP151" i="7" s="1"/>
  <c r="AQ151" i="7" s="1"/>
  <c r="AR151" i="7" s="1"/>
  <c r="AS151" i="7" s="1"/>
  <c r="AT151" i="7" s="1"/>
  <c r="AU151" i="7" s="1"/>
  <c r="AV151" i="7" s="1"/>
  <c r="AW151" i="7" s="1"/>
  <c r="AX151" i="7" s="1"/>
  <c r="AY151" i="7" s="1"/>
  <c r="AZ151" i="7" s="1"/>
  <c r="BA151" i="7" s="1"/>
  <c r="BB151" i="7" s="1"/>
  <c r="BC151" i="7" s="1"/>
  <c r="H288" i="7"/>
  <c r="I288" i="7" s="1"/>
  <c r="J288" i="7" s="1"/>
  <c r="K288" i="7" s="1"/>
  <c r="L288" i="7" s="1"/>
  <c r="M288" i="7" s="1"/>
  <c r="N288" i="7" s="1"/>
  <c r="O288" i="7" s="1"/>
  <c r="P288" i="7" s="1"/>
  <c r="Q288" i="7" s="1"/>
  <c r="R288" i="7" s="1"/>
  <c r="S288" i="7" s="1"/>
  <c r="T288" i="7" s="1"/>
  <c r="U288" i="7" s="1"/>
  <c r="V288" i="7" s="1"/>
  <c r="W288" i="7" s="1"/>
  <c r="X288" i="7" s="1"/>
  <c r="Y288" i="7" s="1"/>
  <c r="Z288" i="7" s="1"/>
  <c r="AA288" i="7" s="1"/>
  <c r="AB288" i="7" s="1"/>
  <c r="AC288" i="7" s="1"/>
  <c r="AD288" i="7" s="1"/>
  <c r="AE288" i="7" s="1"/>
  <c r="AF288" i="7" s="1"/>
  <c r="AG288" i="7" s="1"/>
  <c r="AH288" i="7" s="1"/>
  <c r="AI288" i="7" s="1"/>
  <c r="AJ288" i="7" s="1"/>
  <c r="AK288" i="7" s="1"/>
  <c r="AL288" i="7" s="1"/>
  <c r="AM288" i="7" s="1"/>
  <c r="AN288" i="7" s="1"/>
  <c r="AO288" i="7" s="1"/>
  <c r="AP288" i="7" s="1"/>
  <c r="AQ288" i="7" s="1"/>
  <c r="AR288" i="7" s="1"/>
  <c r="AS288" i="7" s="1"/>
  <c r="AT288" i="7" s="1"/>
  <c r="AU288" i="7" s="1"/>
  <c r="AV288" i="7" s="1"/>
  <c r="AW288" i="7" s="1"/>
  <c r="AX288" i="7" s="1"/>
  <c r="AY288" i="7" s="1"/>
  <c r="AZ288" i="7" s="1"/>
  <c r="BA288" i="7" s="1"/>
  <c r="BB288" i="7" s="1"/>
  <c r="BC288" i="7" s="1"/>
  <c r="BD288" i="7" s="1"/>
  <c r="BE288" i="7" s="1"/>
  <c r="H190" i="7"/>
  <c r="I190" i="7" s="1"/>
  <c r="J190" i="7" s="1"/>
  <c r="K190" i="7" s="1"/>
  <c r="L190" i="7" s="1"/>
  <c r="M190" i="7" s="1"/>
  <c r="N190" i="7" s="1"/>
  <c r="O190" i="7" s="1"/>
  <c r="P190" i="7" s="1"/>
  <c r="Q190" i="7" s="1"/>
  <c r="R190" i="7" s="1"/>
  <c r="S190" i="7" s="1"/>
  <c r="T190" i="7" s="1"/>
  <c r="U190" i="7" s="1"/>
  <c r="V190" i="7" s="1"/>
  <c r="W190" i="7" s="1"/>
  <c r="X190" i="7" s="1"/>
  <c r="Y190" i="7" s="1"/>
  <c r="Z190" i="7" s="1"/>
  <c r="AA190" i="7" s="1"/>
  <c r="AB190" i="7" s="1"/>
  <c r="AC190" i="7" s="1"/>
  <c r="AD190" i="7" s="1"/>
  <c r="AE190" i="7" s="1"/>
  <c r="AF190" i="7" s="1"/>
  <c r="AG190" i="7" s="1"/>
  <c r="AH190" i="7" s="1"/>
  <c r="AI190" i="7" s="1"/>
  <c r="AJ190" i="7" s="1"/>
  <c r="AK190" i="7" s="1"/>
  <c r="AL190" i="7" s="1"/>
  <c r="AM190" i="7" s="1"/>
  <c r="AN190" i="7" s="1"/>
  <c r="AO190" i="7" s="1"/>
  <c r="AP190" i="7" s="1"/>
  <c r="AQ190" i="7" s="1"/>
  <c r="C117" i="7"/>
  <c r="D232" i="7"/>
  <c r="D181" i="7"/>
  <c r="D65" i="7"/>
  <c r="C66" i="7"/>
  <c r="C178" i="7"/>
  <c r="AV173" i="7"/>
  <c r="AX174" i="7" s="1"/>
  <c r="AZ175" i="7" s="1"/>
  <c r="BB176" i="7" s="1"/>
  <c r="AY174" i="7"/>
  <c r="BA175" i="7" s="1"/>
  <c r="BB175" i="7"/>
  <c r="C272" i="7"/>
  <c r="C275" i="7"/>
  <c r="C274" i="7"/>
  <c r="C316" i="7"/>
  <c r="C319" i="7"/>
  <c r="C318" i="7"/>
  <c r="C317" i="7"/>
  <c r="C226" i="7"/>
  <c r="C229" i="7"/>
  <c r="C228" i="7"/>
  <c r="C62" i="7"/>
  <c r="C174" i="7"/>
  <c r="C176" i="7"/>
  <c r="C175" i="7"/>
  <c r="C59" i="7"/>
  <c r="C61" i="7"/>
  <c r="E86" i="7"/>
  <c r="T6" i="7"/>
  <c r="D324" i="7" l="1"/>
  <c r="D66" i="7"/>
  <c r="E66" i="7"/>
  <c r="C67" i="7"/>
  <c r="E67" i="7"/>
  <c r="C324" i="7"/>
  <c r="D227" i="7"/>
  <c r="D226" i="7"/>
  <c r="M192" i="7"/>
  <c r="Q193" i="7" s="1"/>
  <c r="U194" i="7" s="1"/>
  <c r="Y195" i="7" s="1"/>
  <c r="AC196" i="7" s="1"/>
  <c r="AG197" i="7" s="1"/>
  <c r="AK198" i="7" s="1"/>
  <c r="AO199" i="7" s="1"/>
  <c r="D229" i="7"/>
  <c r="D228" i="7"/>
  <c r="D102" i="7"/>
  <c r="AH4" i="7" s="1"/>
  <c r="E323" i="7"/>
  <c r="L192" i="7"/>
  <c r="P193" i="7" s="1"/>
  <c r="T194" i="7" s="1"/>
  <c r="X195" i="7" s="1"/>
  <c r="C182" i="7"/>
  <c r="C183" i="7" s="1"/>
  <c r="E183" i="7" s="1"/>
  <c r="E181" i="7"/>
  <c r="D233" i="7"/>
  <c r="C233" i="7"/>
  <c r="E233" i="7" s="1"/>
  <c r="D251" i="7"/>
  <c r="X134" i="7"/>
  <c r="AD135" i="7" s="1"/>
  <c r="S93" i="7"/>
  <c r="U94" i="7" s="1"/>
  <c r="W95" i="7" s="1"/>
  <c r="Y96" i="7" s="1"/>
  <c r="AA97" i="7" s="1"/>
  <c r="AC98" i="7" s="1"/>
  <c r="AE99" i="7" s="1"/>
  <c r="AG100" i="7" s="1"/>
  <c r="D98" i="7"/>
  <c r="D99" i="7"/>
  <c r="D97" i="7"/>
  <c r="D166" i="7"/>
  <c r="AC135" i="7"/>
  <c r="AI136" i="7" s="1"/>
  <c r="Y135" i="7"/>
  <c r="AD136" i="7" s="1"/>
  <c r="S134" i="7"/>
  <c r="D152" i="7" s="1"/>
  <c r="AP6" i="7" s="1"/>
  <c r="D141" i="7"/>
  <c r="BC176" i="7"/>
  <c r="D165" i="7" s="1"/>
  <c r="D167" i="7"/>
  <c r="BD176" i="7"/>
  <c r="D169" i="7"/>
  <c r="D168" i="7"/>
  <c r="D204" i="7"/>
  <c r="D195" i="7"/>
  <c r="U8" i="7" s="1"/>
  <c r="AB196" i="7"/>
  <c r="AF197" i="7" s="1"/>
  <c r="AJ198" i="7" s="1"/>
  <c r="AN199" i="7" s="1"/>
  <c r="N193" i="7"/>
  <c r="R194" i="7" s="1"/>
  <c r="V195" i="7" s="1"/>
  <c r="Z196" i="7" s="1"/>
  <c r="AD197" i="7" s="1"/>
  <c r="AH198" i="7" s="1"/>
  <c r="Q194" i="7"/>
  <c r="AE231" i="7"/>
  <c r="O193" i="7"/>
  <c r="O249" i="7"/>
  <c r="D250" i="7"/>
  <c r="D295" i="7"/>
  <c r="V304" i="7"/>
  <c r="X14" i="7"/>
  <c r="D279" i="7"/>
  <c r="C279" i="7"/>
  <c r="D121" i="7"/>
  <c r="C121" i="7"/>
  <c r="C68" i="7"/>
  <c r="D67" i="7"/>
  <c r="U4" i="7"/>
  <c r="AG4" i="7"/>
  <c r="X12" i="7"/>
  <c r="U6" i="7"/>
  <c r="D193" i="7" l="1"/>
  <c r="D202" i="7"/>
  <c r="D222" i="7"/>
  <c r="E324" i="7"/>
  <c r="C325" i="7"/>
  <c r="E325" i="7" s="1"/>
  <c r="C280" i="7"/>
  <c r="E280" i="7" s="1"/>
  <c r="E279" i="7"/>
  <c r="C234" i="7"/>
  <c r="E234" i="7" s="1"/>
  <c r="E182" i="7"/>
  <c r="C122" i="7"/>
  <c r="E122" i="7" s="1"/>
  <c r="E121" i="7"/>
  <c r="AI101" i="7"/>
  <c r="D109" i="7"/>
  <c r="D110" i="7"/>
  <c r="AC136" i="7"/>
  <c r="D150" i="7" s="1"/>
  <c r="AN6" i="7" s="1"/>
  <c r="AH136" i="7"/>
  <c r="AN137" i="7" s="1"/>
  <c r="D151" i="7"/>
  <c r="AO6" i="7" s="1"/>
  <c r="D149" i="7"/>
  <c r="AM6" i="7" s="1"/>
  <c r="D203" i="7"/>
  <c r="S194" i="7"/>
  <c r="D201" i="7" s="1"/>
  <c r="AF232" i="7"/>
  <c r="AG233" i="7" s="1"/>
  <c r="D220" i="7" s="1"/>
  <c r="U195" i="7"/>
  <c r="Y196" i="7" s="1"/>
  <c r="AC197" i="7" s="1"/>
  <c r="AD8" i="7"/>
  <c r="AL199" i="7"/>
  <c r="AP200" i="7" s="1"/>
  <c r="Q250" i="7"/>
  <c r="D249" i="7"/>
  <c r="U10" i="7" s="1"/>
  <c r="D248" i="7"/>
  <c r="D294" i="7"/>
  <c r="D293" i="7"/>
  <c r="W305" i="7"/>
  <c r="AI137" i="7"/>
  <c r="AH137" i="7"/>
  <c r="D183" i="7"/>
  <c r="C184" i="7"/>
  <c r="D68" i="7"/>
  <c r="C69" i="7"/>
  <c r="D171" i="7"/>
  <c r="E170" i="7" s="1"/>
  <c r="AF4" i="7"/>
  <c r="T4" i="7"/>
  <c r="Z4" i="7" s="1"/>
  <c r="AD4" i="7"/>
  <c r="V12" i="7"/>
  <c r="AE6" i="7"/>
  <c r="Z6" i="7"/>
  <c r="T8" i="7"/>
  <c r="AF8" i="7"/>
  <c r="W12" i="7"/>
  <c r="W10" i="7"/>
  <c r="S8" i="7"/>
  <c r="D199" i="7"/>
  <c r="E193" i="7" s="1"/>
  <c r="W14" i="7"/>
  <c r="S6" i="7"/>
  <c r="D139" i="7"/>
  <c r="E133" i="7" s="1"/>
  <c r="S4" i="7"/>
  <c r="C326" i="7" l="1"/>
  <c r="D221" i="7"/>
  <c r="D325" i="7"/>
  <c r="E68" i="7"/>
  <c r="D280" i="7"/>
  <c r="C281" i="7"/>
  <c r="C235" i="7"/>
  <c r="C236" i="7" s="1"/>
  <c r="D234" i="7"/>
  <c r="D122" i="7"/>
  <c r="C123" i="7"/>
  <c r="D123" i="7" s="1"/>
  <c r="AM137" i="7"/>
  <c r="AR138" i="7" s="1"/>
  <c r="AK102" i="7"/>
  <c r="AM103" i="7" s="1"/>
  <c r="D107" i="7" s="1"/>
  <c r="D108" i="7"/>
  <c r="AH234" i="7"/>
  <c r="AG198" i="7"/>
  <c r="W195" i="7"/>
  <c r="D214" i="7" s="1"/>
  <c r="S251" i="7"/>
  <c r="D247" i="7"/>
  <c r="D292" i="7"/>
  <c r="X306" i="7"/>
  <c r="AM138" i="7"/>
  <c r="AN138" i="7"/>
  <c r="C327" i="7"/>
  <c r="D326" i="7"/>
  <c r="D184" i="7"/>
  <c r="C185" i="7"/>
  <c r="D69" i="7"/>
  <c r="C70" i="7"/>
  <c r="E166" i="7"/>
  <c r="E169" i="7"/>
  <c r="E168" i="7"/>
  <c r="E167" i="7"/>
  <c r="E165" i="7"/>
  <c r="AT6" i="7"/>
  <c r="AS6" i="7"/>
  <c r="AM7" i="7" s="1"/>
  <c r="D95" i="7"/>
  <c r="E93" i="7" s="1"/>
  <c r="D155" i="7"/>
  <c r="E151" i="7" s="1"/>
  <c r="U12" i="7"/>
  <c r="Y8" i="7"/>
  <c r="T9" i="7" s="1"/>
  <c r="Z8" i="7"/>
  <c r="AD6" i="7"/>
  <c r="AJ6" i="7" s="1"/>
  <c r="Y6" i="7"/>
  <c r="S7" i="7" s="1"/>
  <c r="Y4" i="7"/>
  <c r="Z5" i="7" s="1"/>
  <c r="AC6" i="7"/>
  <c r="E138" i="7"/>
  <c r="E136" i="7"/>
  <c r="E137" i="7"/>
  <c r="E134" i="7"/>
  <c r="E135" i="7"/>
  <c r="V14" i="7"/>
  <c r="AE4" i="7"/>
  <c r="AE8" i="7"/>
  <c r="E198" i="7"/>
  <c r="E196" i="7"/>
  <c r="E197" i="7"/>
  <c r="E195" i="7"/>
  <c r="V10" i="7"/>
  <c r="E194" i="7"/>
  <c r="AS138" i="7" l="1"/>
  <c r="E69" i="7"/>
  <c r="D219" i="7"/>
  <c r="E326" i="7"/>
  <c r="D281" i="7"/>
  <c r="C282" i="7"/>
  <c r="D235" i="7"/>
  <c r="C124" i="7"/>
  <c r="E123" i="7" s="1"/>
  <c r="E235" i="7"/>
  <c r="E184" i="7"/>
  <c r="AO104" i="7"/>
  <c r="D105" i="7" s="1"/>
  <c r="D207" i="7"/>
  <c r="E201" i="7" s="1"/>
  <c r="AC8" i="7"/>
  <c r="AI8" i="7" s="1"/>
  <c r="AK199" i="7"/>
  <c r="AO200" i="7" s="1"/>
  <c r="D210" i="7" s="1"/>
  <c r="AA196" i="7"/>
  <c r="D213" i="7" s="1"/>
  <c r="AR8" i="7"/>
  <c r="AI235" i="7"/>
  <c r="U252" i="7"/>
  <c r="D260" i="7"/>
  <c r="D291" i="7"/>
  <c r="Y307" i="7"/>
  <c r="Z308" i="7" s="1"/>
  <c r="AA309" i="7" s="1"/>
  <c r="AB310" i="7" s="1"/>
  <c r="AC311" i="7" s="1"/>
  <c r="AD312" i="7" s="1"/>
  <c r="AE313" i="7" s="1"/>
  <c r="AF314" i="7" s="1"/>
  <c r="AG315" i="7" s="1"/>
  <c r="AH316" i="7" s="1"/>
  <c r="AI317" i="7" s="1"/>
  <c r="AJ318" i="7" s="1"/>
  <c r="AK319" i="7" s="1"/>
  <c r="AS139" i="7"/>
  <c r="AR139" i="7"/>
  <c r="AX139" i="7"/>
  <c r="AW139" i="7"/>
  <c r="C328" i="7"/>
  <c r="D327" i="7"/>
  <c r="D236" i="7"/>
  <c r="C237" i="7"/>
  <c r="D185" i="7"/>
  <c r="C186" i="7"/>
  <c r="D70" i="7"/>
  <c r="C71" i="7"/>
  <c r="E71" i="7" s="1"/>
  <c r="AN7" i="7"/>
  <c r="AP7" i="7"/>
  <c r="AQ7" i="7"/>
  <c r="AR7" i="7"/>
  <c r="AO7" i="7"/>
  <c r="AT7" i="7"/>
  <c r="S10" i="7"/>
  <c r="E92" i="7"/>
  <c r="E94" i="7"/>
  <c r="E89" i="7"/>
  <c r="E91" i="7"/>
  <c r="E90" i="7"/>
  <c r="E150" i="7"/>
  <c r="E154" i="7"/>
  <c r="E152" i="7"/>
  <c r="E153" i="7"/>
  <c r="E149" i="7"/>
  <c r="AQ4" i="7"/>
  <c r="AR4" i="7"/>
  <c r="S5" i="7"/>
  <c r="D40" i="7"/>
  <c r="E34" i="7" s="1"/>
  <c r="S9" i="7"/>
  <c r="D147" i="7"/>
  <c r="E142" i="7" s="1"/>
  <c r="Z9" i="7"/>
  <c r="AJ4" i="7"/>
  <c r="W7" i="7"/>
  <c r="X7" i="7"/>
  <c r="V7" i="7"/>
  <c r="T7" i="7"/>
  <c r="U7" i="7"/>
  <c r="Z7" i="7"/>
  <c r="X5" i="7"/>
  <c r="V5" i="7"/>
  <c r="W5" i="7"/>
  <c r="T5" i="7"/>
  <c r="U5" i="7"/>
  <c r="W9" i="7"/>
  <c r="X9" i="7"/>
  <c r="V9" i="7"/>
  <c r="U9" i="7"/>
  <c r="AJ8" i="7"/>
  <c r="AI6" i="7"/>
  <c r="AC7" i="7" s="1"/>
  <c r="AW7" i="7" s="1"/>
  <c r="D103" i="7"/>
  <c r="E97" i="7" s="1"/>
  <c r="AC4" i="7"/>
  <c r="T12" i="7"/>
  <c r="U14" i="7"/>
  <c r="T10" i="7"/>
  <c r="S12" i="7"/>
  <c r="E328" i="7" l="1"/>
  <c r="D304" i="7"/>
  <c r="D124" i="7"/>
  <c r="C125" i="7"/>
  <c r="E327" i="7"/>
  <c r="E70" i="7"/>
  <c r="E281" i="7"/>
  <c r="D282" i="7"/>
  <c r="C283" i="7"/>
  <c r="C284" i="7" s="1"/>
  <c r="E284" i="7" s="1"/>
  <c r="E236" i="7"/>
  <c r="E185" i="7"/>
  <c r="E124" i="7"/>
  <c r="AJ236" i="7"/>
  <c r="AN8" i="7"/>
  <c r="AE197" i="7"/>
  <c r="D212" i="7" s="1"/>
  <c r="E204" i="7"/>
  <c r="E205" i="7"/>
  <c r="E206" i="7"/>
  <c r="E202" i="7"/>
  <c r="E203" i="7"/>
  <c r="W253" i="7"/>
  <c r="D259" i="7"/>
  <c r="AL320" i="7"/>
  <c r="D302" i="7" s="1"/>
  <c r="BC140" i="7"/>
  <c r="BB140" i="7"/>
  <c r="AW140" i="7"/>
  <c r="AX140" i="7"/>
  <c r="D328" i="7"/>
  <c r="C329" i="7"/>
  <c r="E329" i="7" s="1"/>
  <c r="D237" i="7"/>
  <c r="C238" i="7"/>
  <c r="E238" i="7" s="1"/>
  <c r="D253" i="7"/>
  <c r="E252" i="7" s="1"/>
  <c r="C187" i="7"/>
  <c r="E187" i="7" s="1"/>
  <c r="D186" i="7"/>
  <c r="C126" i="7"/>
  <c r="E126" i="7" s="1"/>
  <c r="D125" i="7"/>
  <c r="AE9" i="7"/>
  <c r="AH10" i="7"/>
  <c r="AP4" i="7"/>
  <c r="E144" i="7"/>
  <c r="E145" i="7"/>
  <c r="E146" i="7"/>
  <c r="AJ9" i="7"/>
  <c r="E141" i="7"/>
  <c r="E143" i="7"/>
  <c r="AI4" i="7"/>
  <c r="AC5" i="7" s="1"/>
  <c r="Y12" i="7"/>
  <c r="T13" i="7" s="1"/>
  <c r="Z12" i="7"/>
  <c r="Z10" i="7"/>
  <c r="AG9" i="7"/>
  <c r="AH9" i="7"/>
  <c r="AF9" i="7"/>
  <c r="AD9" i="7"/>
  <c r="AC9" i="7"/>
  <c r="AJ7" i="7"/>
  <c r="BC7" i="7" s="1"/>
  <c r="AD7" i="7"/>
  <c r="AX7" i="7" s="1"/>
  <c r="AH7" i="7"/>
  <c r="BB7" i="7" s="1"/>
  <c r="AG7" i="7"/>
  <c r="BA7" i="7" s="1"/>
  <c r="AF7" i="7"/>
  <c r="AZ7" i="7" s="1"/>
  <c r="AE7" i="7"/>
  <c r="AY7" i="7" s="1"/>
  <c r="Y10" i="7"/>
  <c r="T11" i="7" s="1"/>
  <c r="AH12" i="7"/>
  <c r="T14" i="7"/>
  <c r="E39" i="7"/>
  <c r="E38" i="7"/>
  <c r="E37" i="7"/>
  <c r="E36" i="7"/>
  <c r="E35" i="7"/>
  <c r="E102" i="7"/>
  <c r="E101" i="7"/>
  <c r="E100" i="7"/>
  <c r="E98" i="7"/>
  <c r="E99" i="7"/>
  <c r="D217" i="7" l="1"/>
  <c r="D218" i="7"/>
  <c r="D303" i="7"/>
  <c r="D283" i="7"/>
  <c r="E283" i="7"/>
  <c r="E282" i="7"/>
  <c r="E186" i="7"/>
  <c r="E237" i="7"/>
  <c r="E125" i="7"/>
  <c r="AQ8" i="7"/>
  <c r="AI198" i="7"/>
  <c r="AM199" i="7" s="1"/>
  <c r="D211" i="7" s="1"/>
  <c r="D223" i="7"/>
  <c r="Y254" i="7"/>
  <c r="D258" i="7"/>
  <c r="AM321" i="7"/>
  <c r="BC141" i="7"/>
  <c r="BB141" i="7"/>
  <c r="BH141" i="7"/>
  <c r="BG141" i="7"/>
  <c r="E248" i="7"/>
  <c r="E250" i="7"/>
  <c r="E247" i="7"/>
  <c r="E251" i="7"/>
  <c r="E249" i="7"/>
  <c r="AG10" i="7"/>
  <c r="Z11" i="7"/>
  <c r="AO4" i="7"/>
  <c r="AJ5" i="7"/>
  <c r="AG12" i="7"/>
  <c r="Z13" i="7"/>
  <c r="X13" i="7"/>
  <c r="V13" i="7"/>
  <c r="W13" i="7"/>
  <c r="U13" i="7"/>
  <c r="X11" i="7"/>
  <c r="U11" i="7"/>
  <c r="W11" i="7"/>
  <c r="S11" i="7"/>
  <c r="V11" i="7"/>
  <c r="Z14" i="7"/>
  <c r="S13" i="7"/>
  <c r="AH5" i="7"/>
  <c r="AG5" i="7"/>
  <c r="AD5" i="7"/>
  <c r="AF5" i="7"/>
  <c r="AE5" i="7"/>
  <c r="D297" i="7"/>
  <c r="E291" i="7" s="1"/>
  <c r="S14" i="7"/>
  <c r="D301" i="7" l="1"/>
  <c r="D300" i="7"/>
  <c r="E218" i="7"/>
  <c r="E217" i="7"/>
  <c r="AQ200" i="7"/>
  <c r="D209" i="7" s="1"/>
  <c r="AP8" i="7"/>
  <c r="E220" i="7"/>
  <c r="E221" i="7"/>
  <c r="E222" i="7"/>
  <c r="E219" i="7"/>
  <c r="AA255" i="7"/>
  <c r="D257" i="7"/>
  <c r="AN322" i="7"/>
  <c r="D299" i="7" s="1"/>
  <c r="BM142" i="7"/>
  <c r="BL142" i="7"/>
  <c r="BH142" i="7"/>
  <c r="BG142" i="7"/>
  <c r="D162" i="7" s="1"/>
  <c r="AF10" i="7"/>
  <c r="AN12" i="7"/>
  <c r="AN4" i="7"/>
  <c r="AT4" i="7" s="1"/>
  <c r="AM4" i="7"/>
  <c r="AF12" i="7"/>
  <c r="Y14" i="7"/>
  <c r="S15" i="7" s="1"/>
  <c r="AH14" i="7"/>
  <c r="E296" i="7"/>
  <c r="E295" i="7"/>
  <c r="E294" i="7"/>
  <c r="E293" i="7"/>
  <c r="E292" i="7"/>
  <c r="D305" i="7" l="1"/>
  <c r="E299" i="7"/>
  <c r="E300" i="7"/>
  <c r="AO8" i="7"/>
  <c r="AM8" i="7"/>
  <c r="D215" i="7"/>
  <c r="E209" i="7" s="1"/>
  <c r="AC256" i="7"/>
  <c r="AE257" i="7" s="1"/>
  <c r="AG258" i="7" s="1"/>
  <c r="AI259" i="7" s="1"/>
  <c r="AK260" i="7" s="1"/>
  <c r="AM261" i="7" s="1"/>
  <c r="AO262" i="7" s="1"/>
  <c r="AQ263" i="7" s="1"/>
  <c r="AS264" i="7" s="1"/>
  <c r="AU265" i="7" s="1"/>
  <c r="AW266" i="7" s="1"/>
  <c r="AY267" i="7" s="1"/>
  <c r="BA268" i="7" s="1"/>
  <c r="BC269" i="7" s="1"/>
  <c r="BE270" i="7" s="1"/>
  <c r="BG271" i="7" s="1"/>
  <c r="BI272" i="7" s="1"/>
  <c r="D268" i="7" s="1"/>
  <c r="D255" i="7"/>
  <c r="AO323" i="7"/>
  <c r="AP324" i="7" s="1"/>
  <c r="AQ325" i="7" s="1"/>
  <c r="AR326" i="7" s="1"/>
  <c r="AS327" i="7" s="1"/>
  <c r="AT328" i="7" s="1"/>
  <c r="AU329" i="7" s="1"/>
  <c r="AV330" i="7" s="1"/>
  <c r="AW331" i="7" s="1"/>
  <c r="AX332" i="7" s="1"/>
  <c r="AY333" i="7" s="1"/>
  <c r="AZ334" i="7" s="1"/>
  <c r="BA335" i="7" s="1"/>
  <c r="BR143" i="7"/>
  <c r="BQ143" i="7"/>
  <c r="BM143" i="7"/>
  <c r="BL143" i="7"/>
  <c r="AS4" i="7"/>
  <c r="AM5" i="7" s="1"/>
  <c r="AW5" i="7" s="1"/>
  <c r="AE10" i="7"/>
  <c r="D111" i="7"/>
  <c r="Z15" i="7"/>
  <c r="AE12" i="7"/>
  <c r="X15" i="7"/>
  <c r="W15" i="7"/>
  <c r="V15" i="7"/>
  <c r="U15" i="7"/>
  <c r="T15" i="7"/>
  <c r="AG14" i="7"/>
  <c r="E301" i="7" l="1"/>
  <c r="E302" i="7"/>
  <c r="E304" i="7"/>
  <c r="E303" i="7"/>
  <c r="E106" i="7"/>
  <c r="E105" i="7"/>
  <c r="D161" i="7"/>
  <c r="AS8" i="7"/>
  <c r="AO9" i="7" s="1"/>
  <c r="AY9" i="7" s="1"/>
  <c r="E214" i="7"/>
  <c r="E210" i="7"/>
  <c r="E213" i="7"/>
  <c r="E212" i="7"/>
  <c r="E211" i="7"/>
  <c r="AT8" i="7"/>
  <c r="BK273" i="7"/>
  <c r="BB336" i="7"/>
  <c r="D312" i="7"/>
  <c r="AR14" i="7" s="1"/>
  <c r="BQ144" i="7"/>
  <c r="BR144" i="7"/>
  <c r="BW144" i="7"/>
  <c r="BV144" i="7"/>
  <c r="AR5" i="7"/>
  <c r="BB5" i="7" s="1"/>
  <c r="AQ5" i="7"/>
  <c r="BA5" i="7" s="1"/>
  <c r="AP5" i="7"/>
  <c r="AZ5" i="7" s="1"/>
  <c r="AO5" i="7"/>
  <c r="AY5" i="7" s="1"/>
  <c r="AN5" i="7"/>
  <c r="AX5" i="7" s="1"/>
  <c r="AT5" i="7"/>
  <c r="BC5" i="7" s="1"/>
  <c r="AD10" i="7"/>
  <c r="AJ10" i="7" s="1"/>
  <c r="AR12" i="7"/>
  <c r="E110" i="7"/>
  <c r="E109" i="7"/>
  <c r="E108" i="7"/>
  <c r="E107" i="7"/>
  <c r="AD12" i="7"/>
  <c r="AJ12" i="7" s="1"/>
  <c r="AF14" i="7"/>
  <c r="D160" i="7" l="1"/>
  <c r="AR9" i="7"/>
  <c r="BB9" i="7" s="1"/>
  <c r="AN9" i="7"/>
  <c r="AX9" i="7" s="1"/>
  <c r="AQ9" i="7"/>
  <c r="BA9" i="7" s="1"/>
  <c r="AP9" i="7"/>
  <c r="AZ9" i="7" s="1"/>
  <c r="AT9" i="7"/>
  <c r="BC9" i="7" s="1"/>
  <c r="AM9" i="7"/>
  <c r="AW9" i="7" s="1"/>
  <c r="D267" i="7"/>
  <c r="BM274" i="7"/>
  <c r="BC337" i="7"/>
  <c r="D311" i="7"/>
  <c r="AQ14" i="7" s="1"/>
  <c r="BV145" i="7"/>
  <c r="BW145" i="7"/>
  <c r="CB145" i="7"/>
  <c r="CA145" i="7"/>
  <c r="AR10" i="7"/>
  <c r="AC10" i="7"/>
  <c r="AI10" i="7" s="1"/>
  <c r="D261" i="7"/>
  <c r="AQ12" i="7"/>
  <c r="D48" i="7"/>
  <c r="E46" i="7" s="1"/>
  <c r="AC12" i="7"/>
  <c r="AI12" i="7" s="1"/>
  <c r="AJ13" i="7" s="1"/>
  <c r="AE14" i="7"/>
  <c r="D266" i="7" l="1"/>
  <c r="D265" i="7"/>
  <c r="BO275" i="7"/>
  <c r="D263" i="7" s="1"/>
  <c r="BD338" i="7"/>
  <c r="D310" i="7"/>
  <c r="AP14" i="7" s="1"/>
  <c r="CG146" i="7"/>
  <c r="CF146" i="7"/>
  <c r="CB146" i="7"/>
  <c r="D158" i="7" s="1"/>
  <c r="CA146" i="7"/>
  <c r="D159" i="7" s="1"/>
  <c r="AE11" i="7"/>
  <c r="AD11" i="7"/>
  <c r="AJ11" i="7"/>
  <c r="AF11" i="7"/>
  <c r="AG11" i="7"/>
  <c r="AH11" i="7"/>
  <c r="AC11" i="7"/>
  <c r="E257" i="7"/>
  <c r="E260" i="7"/>
  <c r="E258" i="7"/>
  <c r="E255" i="7"/>
  <c r="E259" i="7"/>
  <c r="E256" i="7"/>
  <c r="AQ10" i="7"/>
  <c r="AP12" i="7"/>
  <c r="AD13" i="7"/>
  <c r="AE13" i="7"/>
  <c r="AF13" i="7"/>
  <c r="AG13" i="7"/>
  <c r="AH13" i="7"/>
  <c r="AC13" i="7"/>
  <c r="E42" i="7"/>
  <c r="E47" i="7"/>
  <c r="E44" i="7"/>
  <c r="E45" i="7"/>
  <c r="E43" i="7"/>
  <c r="AC14" i="7"/>
  <c r="AD14" i="7"/>
  <c r="AJ14" i="7" s="1"/>
  <c r="D264" i="7" l="1"/>
  <c r="AN10" i="7" s="1"/>
  <c r="AM10" i="7"/>
  <c r="D163" i="7"/>
  <c r="BQ276" i="7"/>
  <c r="BE339" i="7"/>
  <c r="D307" i="7" s="1"/>
  <c r="AM14" i="7" s="1"/>
  <c r="D309" i="7"/>
  <c r="AO14" i="7" s="1"/>
  <c r="D308" i="7"/>
  <c r="AN14" i="7" s="1"/>
  <c r="AP10" i="7"/>
  <c r="AO10" i="7"/>
  <c r="AM12" i="7"/>
  <c r="AO12" i="7"/>
  <c r="AI14" i="7"/>
  <c r="AS14" i="7" l="1"/>
  <c r="AM15" i="7"/>
  <c r="AN15" i="7"/>
  <c r="AT14" i="7"/>
  <c r="AT15" i="7" s="1"/>
  <c r="AO15" i="7"/>
  <c r="E158" i="7"/>
  <c r="E157" i="7"/>
  <c r="E162" i="7"/>
  <c r="E161" i="7"/>
  <c r="E160" i="7"/>
  <c r="E159" i="7"/>
  <c r="AS10" i="7"/>
  <c r="AP11" i="7" s="1"/>
  <c r="AZ11" i="7" s="1"/>
  <c r="AS12" i="7"/>
  <c r="AM13" i="7" s="1"/>
  <c r="AW13" i="7" s="1"/>
  <c r="AT12" i="7"/>
  <c r="AT10" i="7"/>
  <c r="AD15" i="7"/>
  <c r="AX15" i="7" s="1"/>
  <c r="D269" i="7"/>
  <c r="E264" i="7" s="1"/>
  <c r="D56" i="7"/>
  <c r="E50" i="7" s="1"/>
  <c r="AC15" i="7"/>
  <c r="AW15" i="7" s="1"/>
  <c r="AH15" i="7"/>
  <c r="AG15" i="7"/>
  <c r="AF15" i="7"/>
  <c r="AE15" i="7"/>
  <c r="AY15" i="7" s="1"/>
  <c r="AJ15" i="7"/>
  <c r="BC15" i="7" s="1"/>
  <c r="J79" i="6"/>
  <c r="N79" i="6" s="1"/>
  <c r="O79" i="6" s="1"/>
  <c r="H79" i="6"/>
  <c r="I79" i="6" s="1"/>
  <c r="L79" i="6" s="1"/>
  <c r="M79" i="6" s="1"/>
  <c r="J78" i="6"/>
  <c r="N78" i="6" s="1"/>
  <c r="O78" i="6" s="1"/>
  <c r="H78" i="6"/>
  <c r="I78" i="6" s="1"/>
  <c r="L78" i="6" s="1"/>
  <c r="M78" i="6" s="1"/>
  <c r="J77" i="6"/>
  <c r="N77" i="6" s="1"/>
  <c r="O77" i="6" s="1"/>
  <c r="H77" i="6"/>
  <c r="I77" i="6" s="1"/>
  <c r="L77" i="6" s="1"/>
  <c r="K74" i="6"/>
  <c r="R74" i="6" s="1"/>
  <c r="H74" i="6"/>
  <c r="K73" i="6"/>
  <c r="X73" i="6" s="1"/>
  <c r="H73" i="6"/>
  <c r="K72" i="6"/>
  <c r="R72" i="6" s="1"/>
  <c r="H72" i="6"/>
  <c r="Q71" i="6"/>
  <c r="H71" i="6"/>
  <c r="K70" i="6"/>
  <c r="X70" i="6" s="1"/>
  <c r="H70" i="6"/>
  <c r="K69" i="6"/>
  <c r="X69" i="6" s="1"/>
  <c r="H69" i="6"/>
  <c r="K68" i="6"/>
  <c r="X68" i="6" s="1"/>
  <c r="H68" i="6"/>
  <c r="K67" i="6"/>
  <c r="X67" i="6" s="1"/>
  <c r="H67" i="6"/>
  <c r="K66" i="6"/>
  <c r="X66" i="6" s="1"/>
  <c r="H66" i="6"/>
  <c r="K65" i="6"/>
  <c r="X65" i="6" s="1"/>
  <c r="H65" i="6"/>
  <c r="K64" i="6"/>
  <c r="X64" i="6" s="1"/>
  <c r="H64" i="6"/>
  <c r="K63" i="6"/>
  <c r="X63" i="6" s="1"/>
  <c r="H63" i="6"/>
  <c r="K62" i="6"/>
  <c r="X62" i="6" s="1"/>
  <c r="H62" i="6"/>
  <c r="K61" i="6"/>
  <c r="X61" i="6" s="1"/>
  <c r="H61" i="6"/>
  <c r="K60" i="6"/>
  <c r="X60" i="6" s="1"/>
  <c r="H60" i="6"/>
  <c r="K59" i="6"/>
  <c r="X59" i="6" s="1"/>
  <c r="H59" i="6"/>
  <c r="K58" i="6"/>
  <c r="X58" i="6" s="1"/>
  <c r="H58" i="6"/>
  <c r="K57" i="6"/>
  <c r="X57" i="6" s="1"/>
  <c r="H57" i="6"/>
  <c r="K56" i="6"/>
  <c r="X56" i="6" s="1"/>
  <c r="H56" i="6"/>
  <c r="K55" i="6"/>
  <c r="X55" i="6" s="1"/>
  <c r="H55" i="6"/>
  <c r="K54" i="6"/>
  <c r="X54" i="6" s="1"/>
  <c r="H54" i="6"/>
  <c r="K53" i="6"/>
  <c r="R53" i="6" s="1"/>
  <c r="H53" i="6"/>
  <c r="K52" i="6"/>
  <c r="X52" i="6" s="1"/>
  <c r="H52" i="6"/>
  <c r="K51" i="6"/>
  <c r="R51" i="6" s="1"/>
  <c r="H51" i="6"/>
  <c r="K50" i="6"/>
  <c r="X50" i="6" s="1"/>
  <c r="H50" i="6"/>
  <c r="K49" i="6"/>
  <c r="R49" i="6" s="1"/>
  <c r="H49" i="6"/>
  <c r="K48" i="6"/>
  <c r="X48" i="6" s="1"/>
  <c r="H48" i="6"/>
  <c r="K47" i="6"/>
  <c r="X47" i="6" s="1"/>
  <c r="H47" i="6"/>
  <c r="Q46" i="6"/>
  <c r="H46" i="6"/>
  <c r="K45" i="6"/>
  <c r="R45" i="6" s="1"/>
  <c r="H45" i="6"/>
  <c r="K44" i="6"/>
  <c r="X44" i="6" s="1"/>
  <c r="H44" i="6"/>
  <c r="K43" i="6"/>
  <c r="R43" i="6" s="1"/>
  <c r="H43" i="6"/>
  <c r="K42" i="6"/>
  <c r="X42" i="6" s="1"/>
  <c r="H42" i="6"/>
  <c r="H41" i="6"/>
  <c r="K40" i="6"/>
  <c r="X40" i="6" s="1"/>
  <c r="H40" i="6"/>
  <c r="K39" i="6"/>
  <c r="X39" i="6" s="1"/>
  <c r="H39" i="6"/>
  <c r="K38" i="6"/>
  <c r="X38" i="6" s="1"/>
  <c r="H38" i="6"/>
  <c r="K37" i="6"/>
  <c r="X37" i="6" s="1"/>
  <c r="H37" i="6"/>
  <c r="K36" i="6"/>
  <c r="X36" i="6" s="1"/>
  <c r="H36" i="6"/>
  <c r="Q35" i="6"/>
  <c r="H35" i="6"/>
  <c r="K34" i="6"/>
  <c r="R34" i="6" s="1"/>
  <c r="H34" i="6"/>
  <c r="K33" i="6"/>
  <c r="R33" i="6" s="1"/>
  <c r="H33" i="6"/>
  <c r="K32" i="6"/>
  <c r="R32" i="6" s="1"/>
  <c r="H32" i="6"/>
  <c r="K31" i="6"/>
  <c r="R31" i="6" s="1"/>
  <c r="H31" i="6"/>
  <c r="K30" i="6"/>
  <c r="R30" i="6" s="1"/>
  <c r="H30" i="6"/>
  <c r="W29" i="6"/>
  <c r="H29" i="6"/>
  <c r="Q28" i="6"/>
  <c r="H28" i="6"/>
  <c r="K27" i="6"/>
  <c r="R27" i="6" s="1"/>
  <c r="H27" i="6"/>
  <c r="K26" i="6"/>
  <c r="R26" i="6" s="1"/>
  <c r="H26" i="6"/>
  <c r="K25" i="6"/>
  <c r="R25" i="6" s="1"/>
  <c r="H25" i="6"/>
  <c r="K24" i="6"/>
  <c r="R24" i="6" s="1"/>
  <c r="H24" i="6"/>
  <c r="K23" i="6"/>
  <c r="R23" i="6" s="1"/>
  <c r="H23" i="6"/>
  <c r="K22" i="6"/>
  <c r="R22" i="6" s="1"/>
  <c r="H22" i="6"/>
  <c r="K21" i="6"/>
  <c r="R21" i="6" s="1"/>
  <c r="H21" i="6"/>
  <c r="K20" i="6"/>
  <c r="R20" i="6" s="1"/>
  <c r="H20" i="6"/>
  <c r="K19" i="6"/>
  <c r="R19" i="6" s="1"/>
  <c r="H19" i="6"/>
  <c r="K18" i="6"/>
  <c r="R18" i="6" s="1"/>
  <c r="H18" i="6"/>
  <c r="K17" i="6"/>
  <c r="R17" i="6" s="1"/>
  <c r="H17" i="6"/>
  <c r="K16" i="6"/>
  <c r="R16" i="6" s="1"/>
  <c r="H16" i="6"/>
  <c r="K15" i="6"/>
  <c r="R15" i="6" s="1"/>
  <c r="H15" i="6"/>
  <c r="K14" i="6"/>
  <c r="R14" i="6" s="1"/>
  <c r="H14" i="6"/>
  <c r="W13" i="6"/>
  <c r="Q13" i="6"/>
  <c r="H13" i="6"/>
  <c r="W8" i="6"/>
  <c r="D64" i="5"/>
  <c r="K71" i="6" s="1"/>
  <c r="D39" i="5"/>
  <c r="D34" i="5"/>
  <c r="D28" i="5"/>
  <c r="K35" i="6" s="1"/>
  <c r="D22" i="5"/>
  <c r="K29" i="6" s="1"/>
  <c r="D21" i="5"/>
  <c r="K28" i="6" s="1"/>
  <c r="D6" i="5"/>
  <c r="D2" i="5" s="1"/>
  <c r="P65" i="4"/>
  <c r="H65" i="4"/>
  <c r="I65" i="4" s="1"/>
  <c r="C48" i="4"/>
  <c r="R42" i="4"/>
  <c r="C37" i="4"/>
  <c r="C36" i="4"/>
  <c r="C30" i="4"/>
  <c r="C13" i="4"/>
  <c r="F7" i="4"/>
  <c r="G7" i="4" s="1"/>
  <c r="F6" i="4"/>
  <c r="E6" i="4"/>
  <c r="F5" i="4"/>
  <c r="E5" i="4"/>
  <c r="F4" i="4"/>
  <c r="E4" i="4"/>
  <c r="R61" i="6" l="1"/>
  <c r="R44" i="6"/>
  <c r="R73" i="6"/>
  <c r="AR15" i="7"/>
  <c r="BB15" i="7" s="1"/>
  <c r="AQ15" i="7"/>
  <c r="BA15" i="7" s="1"/>
  <c r="AP15" i="7"/>
  <c r="AZ15" i="7" s="1"/>
  <c r="AO13" i="7"/>
  <c r="AY13" i="7" s="1"/>
  <c r="AT13" i="7"/>
  <c r="BC13" i="7" s="1"/>
  <c r="AO11" i="7"/>
  <c r="AY11" i="7" s="1"/>
  <c r="AT11" i="7"/>
  <c r="BC11" i="7" s="1"/>
  <c r="AN13" i="7"/>
  <c r="AX13" i="7" s="1"/>
  <c r="AR13" i="7"/>
  <c r="BB13" i="7" s="1"/>
  <c r="AQ13" i="7"/>
  <c r="BA13" i="7" s="1"/>
  <c r="AP13" i="7"/>
  <c r="AZ13" i="7" s="1"/>
  <c r="AM11" i="7"/>
  <c r="AW11" i="7" s="1"/>
  <c r="AR11" i="7"/>
  <c r="BB11" i="7" s="1"/>
  <c r="AQ11" i="7"/>
  <c r="BA11" i="7" s="1"/>
  <c r="AN11" i="7"/>
  <c r="AX11" i="7" s="1"/>
  <c r="D313" i="7"/>
  <c r="E310" i="7" s="1"/>
  <c r="E266" i="7"/>
  <c r="E263" i="7"/>
  <c r="E268" i="7"/>
  <c r="E267" i="7"/>
  <c r="E265" i="7"/>
  <c r="R60" i="6"/>
  <c r="R48" i="6"/>
  <c r="R36" i="6"/>
  <c r="R57" i="6"/>
  <c r="R38" i="6"/>
  <c r="R39" i="6"/>
  <c r="R52" i="6"/>
  <c r="R40" i="6"/>
  <c r="R65" i="6"/>
  <c r="R42" i="6"/>
  <c r="R69" i="6"/>
  <c r="R70" i="6"/>
  <c r="R59" i="6"/>
  <c r="R37" i="6"/>
  <c r="R54" i="6"/>
  <c r="R67" i="6"/>
  <c r="E51" i="7"/>
  <c r="E55" i="7"/>
  <c r="E54" i="7"/>
  <c r="E53" i="7"/>
  <c r="R47" i="6"/>
  <c r="R50" i="6"/>
  <c r="R62" i="6"/>
  <c r="R63" i="6"/>
  <c r="R55" i="6"/>
  <c r="R68" i="6"/>
  <c r="E52" i="7"/>
  <c r="D71" i="4"/>
  <c r="D69" i="4"/>
  <c r="D67" i="4"/>
  <c r="D47" i="4"/>
  <c r="S45" i="4"/>
  <c r="T45" i="4" s="1"/>
  <c r="S44" i="4"/>
  <c r="T44" i="4" s="1"/>
  <c r="S43" i="4"/>
  <c r="T43" i="4" s="1"/>
  <c r="I36" i="4"/>
  <c r="J36" i="4" s="1"/>
  <c r="I29" i="4"/>
  <c r="J29" i="4" s="1"/>
  <c r="S28" i="4"/>
  <c r="T28" i="4" s="1"/>
  <c r="D28" i="4"/>
  <c r="D64" i="4"/>
  <c r="D62" i="4"/>
  <c r="D60" i="4"/>
  <c r="D58" i="4"/>
  <c r="D56" i="4"/>
  <c r="D54" i="4"/>
  <c r="D52" i="4"/>
  <c r="D50" i="4"/>
  <c r="S41" i="4"/>
  <c r="T41" i="4" s="1"/>
  <c r="S40" i="4"/>
  <c r="T40" i="4" s="1"/>
  <c r="D40" i="4"/>
  <c r="I39" i="4"/>
  <c r="J39" i="4" s="1"/>
  <c r="S38" i="4"/>
  <c r="T38" i="4" s="1"/>
  <c r="D38" i="4"/>
  <c r="I37" i="4"/>
  <c r="J37" i="4" s="1"/>
  <c r="S35" i="4"/>
  <c r="T35" i="4" s="1"/>
  <c r="D35" i="4"/>
  <c r="I34" i="4"/>
  <c r="J34" i="4" s="1"/>
  <c r="S33" i="4"/>
  <c r="T33" i="4" s="1"/>
  <c r="D33" i="4"/>
  <c r="I32" i="4"/>
  <c r="J32" i="4" s="1"/>
  <c r="S31" i="4"/>
  <c r="T31" i="4" s="1"/>
  <c r="D31" i="4"/>
  <c r="I30" i="4"/>
  <c r="J30" i="4" s="1"/>
  <c r="D72" i="4"/>
  <c r="D68" i="4"/>
  <c r="D63" i="4"/>
  <c r="D59" i="4"/>
  <c r="D55" i="4"/>
  <c r="D51" i="4"/>
  <c r="I35" i="4"/>
  <c r="J35" i="4" s="1"/>
  <c r="D34" i="4"/>
  <c r="S32" i="4"/>
  <c r="T32" i="4" s="1"/>
  <c r="I31" i="4"/>
  <c r="J31" i="4" s="1"/>
  <c r="D30" i="4"/>
  <c r="D29" i="4"/>
  <c r="S27" i="4"/>
  <c r="T27" i="4" s="1"/>
  <c r="D27" i="4"/>
  <c r="I26" i="4"/>
  <c r="J26" i="4" s="1"/>
  <c r="S25" i="4"/>
  <c r="T25" i="4" s="1"/>
  <c r="D25" i="4"/>
  <c r="I24" i="4"/>
  <c r="J24" i="4" s="1"/>
  <c r="S23" i="4"/>
  <c r="T23" i="4" s="1"/>
  <c r="D23" i="4"/>
  <c r="I22" i="4"/>
  <c r="J22" i="4" s="1"/>
  <c r="S21" i="4"/>
  <c r="T21" i="4" s="1"/>
  <c r="D21" i="4"/>
  <c r="I20" i="4"/>
  <c r="J20" i="4" s="1"/>
  <c r="S19" i="4"/>
  <c r="T19" i="4" s="1"/>
  <c r="D19" i="4"/>
  <c r="N18" i="4"/>
  <c r="O18" i="4" s="1"/>
  <c r="D18" i="4"/>
  <c r="N17" i="4"/>
  <c r="O17" i="4" s="1"/>
  <c r="D17" i="4"/>
  <c r="N16" i="4"/>
  <c r="O16" i="4" s="1"/>
  <c r="D16" i="4"/>
  <c r="S15" i="4"/>
  <c r="T15" i="4" s="1"/>
  <c r="I15" i="4"/>
  <c r="J15" i="4" s="1"/>
  <c r="X14" i="4"/>
  <c r="Y14" i="4" s="1"/>
  <c r="N14" i="4"/>
  <c r="O14" i="4" s="1"/>
  <c r="D14" i="4"/>
  <c r="X13" i="4"/>
  <c r="Y13" i="4" s="1"/>
  <c r="N13" i="4"/>
  <c r="O13" i="4" s="1"/>
  <c r="X12" i="4"/>
  <c r="Y12" i="4" s="1"/>
  <c r="D12" i="4"/>
  <c r="X11" i="4"/>
  <c r="D11" i="4"/>
  <c r="D46" i="4"/>
  <c r="D44" i="4"/>
  <c r="D41" i="4"/>
  <c r="S39" i="4"/>
  <c r="T39" i="4" s="1"/>
  <c r="I38" i="4"/>
  <c r="J38" i="4" s="1"/>
  <c r="D37" i="4"/>
  <c r="D36" i="4"/>
  <c r="N12" i="4"/>
  <c r="O12" i="4" s="1"/>
  <c r="N11" i="4"/>
  <c r="S36" i="4"/>
  <c r="T36" i="4" s="1"/>
  <c r="AC12" i="4"/>
  <c r="AD12" i="4" s="1"/>
  <c r="I12" i="4"/>
  <c r="J12" i="4" s="1"/>
  <c r="AC11" i="4"/>
  <c r="I11" i="4"/>
  <c r="D70" i="4"/>
  <c r="D66" i="4"/>
  <c r="D65" i="4"/>
  <c r="D61" i="4"/>
  <c r="D57" i="4"/>
  <c r="D53" i="4"/>
  <c r="D49" i="4"/>
  <c r="S34" i="4"/>
  <c r="T34" i="4" s="1"/>
  <c r="I33" i="4"/>
  <c r="J33" i="4" s="1"/>
  <c r="D32" i="4"/>
  <c r="S30" i="4"/>
  <c r="T30" i="4" s="1"/>
  <c r="S29" i="4"/>
  <c r="T29" i="4" s="1"/>
  <c r="I28" i="4"/>
  <c r="J28" i="4" s="1"/>
  <c r="I27" i="4"/>
  <c r="J27" i="4" s="1"/>
  <c r="S26" i="4"/>
  <c r="T26" i="4" s="1"/>
  <c r="D26" i="4"/>
  <c r="I25" i="4"/>
  <c r="J25" i="4" s="1"/>
  <c r="S24" i="4"/>
  <c r="T24" i="4" s="1"/>
  <c r="D24" i="4"/>
  <c r="I23" i="4"/>
  <c r="J23" i="4" s="1"/>
  <c r="S22" i="4"/>
  <c r="T22" i="4" s="1"/>
  <c r="D22" i="4"/>
  <c r="I21" i="4"/>
  <c r="J21" i="4" s="1"/>
  <c r="S20" i="4"/>
  <c r="T20" i="4" s="1"/>
  <c r="D20" i="4"/>
  <c r="I19" i="4"/>
  <c r="J19" i="4" s="1"/>
  <c r="S18" i="4"/>
  <c r="T18" i="4" s="1"/>
  <c r="I18" i="4"/>
  <c r="J18" i="4" s="1"/>
  <c r="S17" i="4"/>
  <c r="T17" i="4" s="1"/>
  <c r="I17" i="4"/>
  <c r="J17" i="4" s="1"/>
  <c r="S16" i="4"/>
  <c r="T16" i="4" s="1"/>
  <c r="I16" i="4"/>
  <c r="J16" i="4" s="1"/>
  <c r="X15" i="4"/>
  <c r="Y15" i="4" s="1"/>
  <c r="N15" i="4"/>
  <c r="O15" i="4" s="1"/>
  <c r="D15" i="4"/>
  <c r="S14" i="4"/>
  <c r="T14" i="4" s="1"/>
  <c r="I14" i="4"/>
  <c r="J14" i="4" s="1"/>
  <c r="AC13" i="4"/>
  <c r="AD13" i="4" s="1"/>
  <c r="S13" i="4"/>
  <c r="T13" i="4" s="1"/>
  <c r="I13" i="4"/>
  <c r="J13" i="4" s="1"/>
  <c r="D45" i="4"/>
  <c r="D43" i="4"/>
  <c r="D42" i="4"/>
  <c r="I40" i="4"/>
  <c r="J40" i="4" s="1"/>
  <c r="D39" i="4"/>
  <c r="S37" i="4"/>
  <c r="T37" i="4" s="1"/>
  <c r="S12" i="4"/>
  <c r="T12" i="4" s="1"/>
  <c r="S11" i="4"/>
  <c r="D13" i="4"/>
  <c r="K46" i="6"/>
  <c r="K41" i="6"/>
  <c r="S42" i="4"/>
  <c r="T42" i="4" s="1"/>
  <c r="K13" i="6"/>
  <c r="D48" i="4"/>
  <c r="X35" i="6"/>
  <c r="R35" i="6"/>
  <c r="R28" i="6"/>
  <c r="X28" i="6"/>
  <c r="X29" i="6"/>
  <c r="R29" i="6"/>
  <c r="X14" i="6"/>
  <c r="X16" i="6"/>
  <c r="X18" i="6"/>
  <c r="X20" i="6"/>
  <c r="X22" i="6"/>
  <c r="X24" i="6"/>
  <c r="X26" i="6"/>
  <c r="X31" i="6"/>
  <c r="X15" i="6"/>
  <c r="X17" i="6"/>
  <c r="X19" i="6"/>
  <c r="X21" i="6"/>
  <c r="X23" i="6"/>
  <c r="X25" i="6"/>
  <c r="X27" i="6"/>
  <c r="X30" i="6"/>
  <c r="X32" i="6"/>
  <c r="X33" i="6"/>
  <c r="X34" i="6"/>
  <c r="X71" i="6"/>
  <c r="R71" i="6"/>
  <c r="X43" i="6"/>
  <c r="X45" i="6"/>
  <c r="R56" i="6"/>
  <c r="R64" i="6"/>
  <c r="M77" i="6"/>
  <c r="T77" i="6"/>
  <c r="R58" i="6"/>
  <c r="R66" i="6"/>
  <c r="X72" i="6"/>
  <c r="X74" i="6"/>
  <c r="X49" i="6"/>
  <c r="X51" i="6"/>
  <c r="X53" i="6"/>
  <c r="E307" i="7" l="1"/>
  <c r="E308" i="7"/>
  <c r="E311" i="7"/>
  <c r="E312" i="7"/>
  <c r="E309" i="7"/>
  <c r="B24" i="6"/>
  <c r="C17" i="5"/>
  <c r="E22" i="4"/>
  <c r="B34" i="6"/>
  <c r="E32" i="4"/>
  <c r="C27" i="5"/>
  <c r="B55" i="6"/>
  <c r="C48" i="5"/>
  <c r="E53" i="4"/>
  <c r="B68" i="6"/>
  <c r="C61" i="5"/>
  <c r="E66" i="4"/>
  <c r="B13" i="6"/>
  <c r="C6" i="5"/>
  <c r="E11" i="4"/>
  <c r="D9" i="4"/>
  <c r="K4" i="4"/>
  <c r="K5" i="4" s="1"/>
  <c r="B23" i="6"/>
  <c r="C16" i="5"/>
  <c r="E21" i="4"/>
  <c r="B32" i="6"/>
  <c r="C25" i="5"/>
  <c r="E30" i="4"/>
  <c r="B65" i="6"/>
  <c r="C58" i="5"/>
  <c r="E63" i="4"/>
  <c r="B33" i="6"/>
  <c r="E31" i="4"/>
  <c r="C26" i="5"/>
  <c r="B42" i="6"/>
  <c r="C35" i="5"/>
  <c r="E40" i="4"/>
  <c r="B54" i="6"/>
  <c r="E52" i="4"/>
  <c r="C47" i="5"/>
  <c r="B62" i="6"/>
  <c r="E60" i="4"/>
  <c r="C55" i="5"/>
  <c r="B71" i="6"/>
  <c r="C64" i="5"/>
  <c r="E69" i="4"/>
  <c r="B44" i="6"/>
  <c r="C37" i="5"/>
  <c r="E42" i="4"/>
  <c r="B17" i="6"/>
  <c r="C10" i="5"/>
  <c r="E15" i="4"/>
  <c r="B26" i="6"/>
  <c r="C19" i="5"/>
  <c r="E24" i="4"/>
  <c r="B51" i="6"/>
  <c r="C44" i="5"/>
  <c r="E49" i="4"/>
  <c r="B67" i="6"/>
  <c r="C60" i="5"/>
  <c r="E65" i="4"/>
  <c r="AC9" i="4"/>
  <c r="AD11" i="4"/>
  <c r="AD9" i="4" s="1"/>
  <c r="O11" i="4"/>
  <c r="O9" i="4" s="1"/>
  <c r="N9" i="4"/>
  <c r="B48" i="6"/>
  <c r="C41" i="5"/>
  <c r="E46" i="4"/>
  <c r="B18" i="6"/>
  <c r="C11" i="5"/>
  <c r="E16" i="4"/>
  <c r="B20" i="6"/>
  <c r="C13" i="5"/>
  <c r="E18" i="4"/>
  <c r="B25" i="6"/>
  <c r="C18" i="5"/>
  <c r="E23" i="4"/>
  <c r="B31" i="6"/>
  <c r="E29" i="4"/>
  <c r="C24" i="5"/>
  <c r="B36" i="6"/>
  <c r="C29" i="5"/>
  <c r="E34" i="4"/>
  <c r="B61" i="6"/>
  <c r="C54" i="5"/>
  <c r="E59" i="4"/>
  <c r="B35" i="6"/>
  <c r="E33" i="4"/>
  <c r="C28" i="5"/>
  <c r="B52" i="6"/>
  <c r="E50" i="4"/>
  <c r="C45" i="5"/>
  <c r="B60" i="6"/>
  <c r="E58" i="4"/>
  <c r="C53" i="5"/>
  <c r="B30" i="6"/>
  <c r="C23" i="5"/>
  <c r="E28" i="4"/>
  <c r="B69" i="6"/>
  <c r="C62" i="5"/>
  <c r="E67" i="4"/>
  <c r="K8" i="6"/>
  <c r="X13" i="6"/>
  <c r="R13" i="6"/>
  <c r="R41" i="6"/>
  <c r="X41" i="6"/>
  <c r="R46" i="6"/>
  <c r="X46" i="6"/>
  <c r="B45" i="6"/>
  <c r="E43" i="4"/>
  <c r="C38" i="5"/>
  <c r="B15" i="6"/>
  <c r="C8" i="5"/>
  <c r="E13" i="4"/>
  <c r="B41" i="6"/>
  <c r="C34" i="5"/>
  <c r="E39" i="4"/>
  <c r="B47" i="6"/>
  <c r="C40" i="5"/>
  <c r="E45" i="4"/>
  <c r="B22" i="6"/>
  <c r="C15" i="5"/>
  <c r="E20" i="4"/>
  <c r="B59" i="6"/>
  <c r="C52" i="5"/>
  <c r="E57" i="4"/>
  <c r="B72" i="6"/>
  <c r="E70" i="4"/>
  <c r="C65" i="5"/>
  <c r="B38" i="6"/>
  <c r="C31" i="5"/>
  <c r="E36" i="4"/>
  <c r="B43" i="6"/>
  <c r="C36" i="5"/>
  <c r="E41" i="4"/>
  <c r="Y11" i="4"/>
  <c r="X9" i="4"/>
  <c r="X8" i="4"/>
  <c r="B19" i="6"/>
  <c r="C12" i="5"/>
  <c r="E17" i="4"/>
  <c r="B21" i="6"/>
  <c r="C14" i="5"/>
  <c r="E19" i="4"/>
  <c r="B29" i="6"/>
  <c r="C22" i="5"/>
  <c r="E27" i="4"/>
  <c r="B53" i="6"/>
  <c r="C46" i="5"/>
  <c r="E51" i="4"/>
  <c r="B70" i="6"/>
  <c r="E68" i="4"/>
  <c r="C63" i="5"/>
  <c r="B40" i="6"/>
  <c r="E38" i="4"/>
  <c r="C33" i="5"/>
  <c r="B56" i="6"/>
  <c r="E54" i="4"/>
  <c r="C49" i="5"/>
  <c r="B64" i="6"/>
  <c r="E62" i="4"/>
  <c r="C57" i="5"/>
  <c r="B73" i="6"/>
  <c r="C66" i="5"/>
  <c r="E71" i="4"/>
  <c r="B50" i="6"/>
  <c r="E48" i="4"/>
  <c r="C43" i="5"/>
  <c r="T11" i="4"/>
  <c r="T9" i="4" s="1"/>
  <c r="S9" i="4"/>
  <c r="B28" i="6"/>
  <c r="E26" i="4"/>
  <c r="C21" i="5"/>
  <c r="B63" i="6"/>
  <c r="C56" i="5"/>
  <c r="E61" i="4"/>
  <c r="I9" i="4"/>
  <c r="J11" i="4"/>
  <c r="J9" i="4" s="1"/>
  <c r="B39" i="6"/>
  <c r="C32" i="5"/>
  <c r="E37" i="4"/>
  <c r="B46" i="6"/>
  <c r="C39" i="5"/>
  <c r="E44" i="4"/>
  <c r="B14" i="6"/>
  <c r="C7" i="5"/>
  <c r="E12" i="4"/>
  <c r="B16" i="6"/>
  <c r="C9" i="5"/>
  <c r="E14" i="4"/>
  <c r="B27" i="6"/>
  <c r="C20" i="5"/>
  <c r="E25" i="4"/>
  <c r="B57" i="6"/>
  <c r="C50" i="5"/>
  <c r="E55" i="4"/>
  <c r="B74" i="6"/>
  <c r="C67" i="5"/>
  <c r="E72" i="4"/>
  <c r="B37" i="6"/>
  <c r="C30" i="5"/>
  <c r="E35" i="4"/>
  <c r="B58" i="6"/>
  <c r="E56" i="4"/>
  <c r="C51" i="5"/>
  <c r="B66" i="6"/>
  <c r="E64" i="4"/>
  <c r="C59" i="5"/>
  <c r="B49" i="6"/>
  <c r="C42" i="5"/>
  <c r="E47" i="4"/>
  <c r="J49" i="6" l="1"/>
  <c r="N49" i="6" s="1"/>
  <c r="O49" i="6" s="1"/>
  <c r="I49" i="6"/>
  <c r="L49" i="6" s="1"/>
  <c r="I74" i="6"/>
  <c r="L74" i="6" s="1"/>
  <c r="J74" i="6"/>
  <c r="N74" i="6" s="1"/>
  <c r="O74" i="6" s="1"/>
  <c r="F9" i="5"/>
  <c r="E9" i="5"/>
  <c r="F46" i="5"/>
  <c r="E46" i="5"/>
  <c r="J29" i="6"/>
  <c r="N29" i="6" s="1"/>
  <c r="O29" i="6" s="1"/>
  <c r="I29" i="6"/>
  <c r="L29" i="6" s="1"/>
  <c r="I43" i="6"/>
  <c r="L43" i="6" s="1"/>
  <c r="J43" i="6"/>
  <c r="N43" i="6" s="1"/>
  <c r="O43" i="6" s="1"/>
  <c r="I45" i="6"/>
  <c r="L45" i="6" s="1"/>
  <c r="J45" i="6"/>
  <c r="N45" i="6" s="1"/>
  <c r="O45" i="6" s="1"/>
  <c r="J60" i="6"/>
  <c r="N60" i="6" s="1"/>
  <c r="O60" i="6" s="1"/>
  <c r="I60" i="6"/>
  <c r="L60" i="6" s="1"/>
  <c r="I36" i="6"/>
  <c r="L36" i="6" s="1"/>
  <c r="J36" i="6"/>
  <c r="N36" i="6" s="1"/>
  <c r="O36" i="6" s="1"/>
  <c r="F13" i="5"/>
  <c r="E13" i="5"/>
  <c r="F48" i="5"/>
  <c r="E48" i="5"/>
  <c r="I37" i="6"/>
  <c r="L37" i="6" s="1"/>
  <c r="J37" i="6"/>
  <c r="N37" i="6" s="1"/>
  <c r="O37" i="6" s="1"/>
  <c r="E20" i="5"/>
  <c r="F20" i="5"/>
  <c r="F32" i="5"/>
  <c r="E32" i="5"/>
  <c r="F43" i="5"/>
  <c r="E43" i="5"/>
  <c r="E12" i="5"/>
  <c r="F12" i="5"/>
  <c r="J59" i="6"/>
  <c r="N59" i="6" s="1"/>
  <c r="O59" i="6" s="1"/>
  <c r="I59" i="6"/>
  <c r="L59" i="6" s="1"/>
  <c r="E45" i="5"/>
  <c r="F45" i="5"/>
  <c r="F47" i="5"/>
  <c r="E47" i="5"/>
  <c r="E9" i="4"/>
  <c r="F51" i="5"/>
  <c r="E51" i="5"/>
  <c r="J14" i="6"/>
  <c r="N14" i="6" s="1"/>
  <c r="O14" i="6" s="1"/>
  <c r="I14" i="6"/>
  <c r="L14" i="6" s="1"/>
  <c r="F21" i="5"/>
  <c r="E21" i="5"/>
  <c r="E63" i="5"/>
  <c r="F63" i="5"/>
  <c r="E65" i="5"/>
  <c r="F65" i="5"/>
  <c r="J22" i="6"/>
  <c r="N22" i="6" s="1"/>
  <c r="O22" i="6" s="1"/>
  <c r="I22" i="6"/>
  <c r="L22" i="6" s="1"/>
  <c r="F23" i="5"/>
  <c r="E23" i="5"/>
  <c r="E28" i="5"/>
  <c r="F28" i="5"/>
  <c r="J26" i="6"/>
  <c r="N26" i="6" s="1"/>
  <c r="O26" i="6" s="1"/>
  <c r="I26" i="6"/>
  <c r="L26" i="6" s="1"/>
  <c r="J62" i="6"/>
  <c r="N62" i="6" s="1"/>
  <c r="O62" i="6" s="1"/>
  <c r="I62" i="6"/>
  <c r="L62" i="6" s="1"/>
  <c r="J65" i="6"/>
  <c r="N65" i="6" s="1"/>
  <c r="O65" i="6" s="1"/>
  <c r="I65" i="6"/>
  <c r="L65" i="6" s="1"/>
  <c r="J34" i="6"/>
  <c r="N34" i="6" s="1"/>
  <c r="O34" i="6" s="1"/>
  <c r="I34" i="6"/>
  <c r="L34" i="6" s="1"/>
  <c r="J64" i="6"/>
  <c r="N64" i="6" s="1"/>
  <c r="O64" i="6" s="1"/>
  <c r="I64" i="6"/>
  <c r="L64" i="6" s="1"/>
  <c r="J53" i="6"/>
  <c r="N53" i="6" s="1"/>
  <c r="O53" i="6" s="1"/>
  <c r="I53" i="6"/>
  <c r="L53" i="6" s="1"/>
  <c r="Y9" i="4"/>
  <c r="Y8" i="4"/>
  <c r="E34" i="5"/>
  <c r="F34" i="5"/>
  <c r="J30" i="6"/>
  <c r="N30" i="6" s="1"/>
  <c r="O30" i="6" s="1"/>
  <c r="I30" i="6"/>
  <c r="L30" i="6" s="1"/>
  <c r="I61" i="6"/>
  <c r="L61" i="6" s="1"/>
  <c r="J61" i="6"/>
  <c r="N61" i="6" s="1"/>
  <c r="O61" i="6" s="1"/>
  <c r="F18" i="5"/>
  <c r="E18" i="5"/>
  <c r="F60" i="5"/>
  <c r="E60" i="5"/>
  <c r="J71" i="6"/>
  <c r="N71" i="6" s="1"/>
  <c r="O71" i="6" s="1"/>
  <c r="I71" i="6"/>
  <c r="L71" i="6" s="1"/>
  <c r="J33" i="6"/>
  <c r="N33" i="6" s="1"/>
  <c r="O33" i="6" s="1"/>
  <c r="I33" i="6"/>
  <c r="L33" i="6" s="1"/>
  <c r="E16" i="5"/>
  <c r="F16" i="5"/>
  <c r="E61" i="5"/>
  <c r="F61" i="5"/>
  <c r="F50" i="5"/>
  <c r="E50" i="5"/>
  <c r="I39" i="6"/>
  <c r="L39" i="6" s="1"/>
  <c r="J39" i="6"/>
  <c r="N39" i="6" s="1"/>
  <c r="O39" i="6" s="1"/>
  <c r="E49" i="5"/>
  <c r="F49" i="5"/>
  <c r="J19" i="6"/>
  <c r="N19" i="6" s="1"/>
  <c r="O19" i="6" s="1"/>
  <c r="I19" i="6"/>
  <c r="L19" i="6" s="1"/>
  <c r="I72" i="6"/>
  <c r="L72" i="6" s="1"/>
  <c r="J72" i="6"/>
  <c r="N72" i="6" s="1"/>
  <c r="O72" i="6" s="1"/>
  <c r="F40" i="5"/>
  <c r="E40" i="5"/>
  <c r="F38" i="5"/>
  <c r="E38" i="5"/>
  <c r="I69" i="6"/>
  <c r="L69" i="6" s="1"/>
  <c r="J69" i="6"/>
  <c r="N69" i="6" s="1"/>
  <c r="O69" i="6" s="1"/>
  <c r="E53" i="5"/>
  <c r="F53" i="5"/>
  <c r="J35" i="6"/>
  <c r="N35" i="6" s="1"/>
  <c r="O35" i="6" s="1"/>
  <c r="I35" i="6"/>
  <c r="L35" i="6" s="1"/>
  <c r="J25" i="6"/>
  <c r="N25" i="6" s="1"/>
  <c r="O25" i="6" s="1"/>
  <c r="I25" i="6"/>
  <c r="L25" i="6" s="1"/>
  <c r="E41" i="5"/>
  <c r="F41" i="5"/>
  <c r="J67" i="6"/>
  <c r="N67" i="6" s="1"/>
  <c r="O67" i="6" s="1"/>
  <c r="I67" i="6"/>
  <c r="L67" i="6" s="1"/>
  <c r="F10" i="5"/>
  <c r="E10" i="5"/>
  <c r="J44" i="6"/>
  <c r="N44" i="6" s="1"/>
  <c r="O44" i="6" s="1"/>
  <c r="I44" i="6"/>
  <c r="L44" i="6" s="1"/>
  <c r="F55" i="5"/>
  <c r="E55" i="5"/>
  <c r="J42" i="6"/>
  <c r="N42" i="6" s="1"/>
  <c r="O42" i="6" s="1"/>
  <c r="I42" i="6"/>
  <c r="L42" i="6" s="1"/>
  <c r="F25" i="5"/>
  <c r="E25" i="5"/>
  <c r="J23" i="6"/>
  <c r="N23" i="6" s="1"/>
  <c r="O23" i="6" s="1"/>
  <c r="I23" i="6"/>
  <c r="L23" i="6" s="1"/>
  <c r="C2" i="5"/>
  <c r="F6" i="5"/>
  <c r="E6" i="5"/>
  <c r="J68" i="6"/>
  <c r="N68" i="6" s="1"/>
  <c r="O68" i="6" s="1"/>
  <c r="I68" i="6"/>
  <c r="L68" i="6" s="1"/>
  <c r="F27" i="5"/>
  <c r="E27" i="5"/>
  <c r="F17" i="5"/>
  <c r="E17" i="5"/>
  <c r="F30" i="5"/>
  <c r="E30" i="5"/>
  <c r="J56" i="6"/>
  <c r="N56" i="6" s="1"/>
  <c r="O56" i="6" s="1"/>
  <c r="I56" i="6"/>
  <c r="L56" i="6" s="1"/>
  <c r="F52" i="5"/>
  <c r="E52" i="5"/>
  <c r="E8" i="5"/>
  <c r="F8" i="5"/>
  <c r="F54" i="5"/>
  <c r="E54" i="5"/>
  <c r="J18" i="6"/>
  <c r="N18" i="6" s="1"/>
  <c r="O18" i="6" s="1"/>
  <c r="I18" i="6"/>
  <c r="L18" i="6" s="1"/>
  <c r="F44" i="5"/>
  <c r="E44" i="5"/>
  <c r="F64" i="5"/>
  <c r="E64" i="5"/>
  <c r="F59" i="5"/>
  <c r="E59" i="5"/>
  <c r="J16" i="6"/>
  <c r="N16" i="6" s="1"/>
  <c r="O16" i="6" s="1"/>
  <c r="I16" i="6"/>
  <c r="L16" i="6" s="1"/>
  <c r="F66" i="5"/>
  <c r="E66" i="5"/>
  <c r="F33" i="5"/>
  <c r="E33" i="5"/>
  <c r="J15" i="6"/>
  <c r="N15" i="6" s="1"/>
  <c r="O15" i="6" s="1"/>
  <c r="I15" i="6"/>
  <c r="L15" i="6" s="1"/>
  <c r="F62" i="5"/>
  <c r="E62" i="5"/>
  <c r="F24" i="5"/>
  <c r="E24" i="5"/>
  <c r="J20" i="6"/>
  <c r="N20" i="6" s="1"/>
  <c r="O20" i="6" s="1"/>
  <c r="I20" i="6"/>
  <c r="L20" i="6" s="1"/>
  <c r="J51" i="6"/>
  <c r="N51" i="6" s="1"/>
  <c r="O51" i="6" s="1"/>
  <c r="I51" i="6"/>
  <c r="L51" i="6" s="1"/>
  <c r="F37" i="5"/>
  <c r="E37" i="5"/>
  <c r="F35" i="5"/>
  <c r="E35" i="5"/>
  <c r="J55" i="6"/>
  <c r="N55" i="6" s="1"/>
  <c r="O55" i="6" s="1"/>
  <c r="I55" i="6"/>
  <c r="L55" i="6" s="1"/>
  <c r="J58" i="6"/>
  <c r="N58" i="6" s="1"/>
  <c r="O58" i="6" s="1"/>
  <c r="I58" i="6"/>
  <c r="L58" i="6" s="1"/>
  <c r="J27" i="6"/>
  <c r="N27" i="6" s="1"/>
  <c r="O27" i="6" s="1"/>
  <c r="I27" i="6"/>
  <c r="L27" i="6" s="1"/>
  <c r="E39" i="5"/>
  <c r="F39" i="5"/>
  <c r="F56" i="5"/>
  <c r="E56" i="5"/>
  <c r="J28" i="6"/>
  <c r="N28" i="6" s="1"/>
  <c r="O28" i="6" s="1"/>
  <c r="I28" i="6"/>
  <c r="L28" i="6" s="1"/>
  <c r="J73" i="6"/>
  <c r="N73" i="6" s="1"/>
  <c r="O73" i="6" s="1"/>
  <c r="I73" i="6"/>
  <c r="L73" i="6" s="1"/>
  <c r="J70" i="6"/>
  <c r="N70" i="6" s="1"/>
  <c r="O70" i="6" s="1"/>
  <c r="I70" i="6"/>
  <c r="L70" i="6" s="1"/>
  <c r="F14" i="5"/>
  <c r="E14" i="5"/>
  <c r="E31" i="5"/>
  <c r="F31" i="5"/>
  <c r="I41" i="6"/>
  <c r="L41" i="6" s="1"/>
  <c r="J41" i="6"/>
  <c r="N41" i="6" s="1"/>
  <c r="O41" i="6" s="1"/>
  <c r="F42" i="5"/>
  <c r="E42" i="5"/>
  <c r="J66" i="6"/>
  <c r="N66" i="6" s="1"/>
  <c r="O66" i="6" s="1"/>
  <c r="I66" i="6"/>
  <c r="L66" i="6" s="1"/>
  <c r="F67" i="5"/>
  <c r="E67" i="5"/>
  <c r="J57" i="6"/>
  <c r="N57" i="6" s="1"/>
  <c r="O57" i="6" s="1"/>
  <c r="I57" i="6"/>
  <c r="L57" i="6" s="1"/>
  <c r="F7" i="5"/>
  <c r="E7" i="5"/>
  <c r="J46" i="6"/>
  <c r="N46" i="6" s="1"/>
  <c r="O46" i="6" s="1"/>
  <c r="I46" i="6"/>
  <c r="L46" i="6" s="1"/>
  <c r="J63" i="6"/>
  <c r="N63" i="6" s="1"/>
  <c r="O63" i="6" s="1"/>
  <c r="I63" i="6"/>
  <c r="L63" i="6" s="1"/>
  <c r="J50" i="6"/>
  <c r="N50" i="6" s="1"/>
  <c r="O50" i="6" s="1"/>
  <c r="I50" i="6"/>
  <c r="L50" i="6" s="1"/>
  <c r="E57" i="5"/>
  <c r="F57" i="5"/>
  <c r="J40" i="6"/>
  <c r="N40" i="6" s="1"/>
  <c r="O40" i="6" s="1"/>
  <c r="I40" i="6"/>
  <c r="L40" i="6" s="1"/>
  <c r="F22" i="5"/>
  <c r="E22" i="5"/>
  <c r="J21" i="6"/>
  <c r="N21" i="6" s="1"/>
  <c r="O21" i="6" s="1"/>
  <c r="I21" i="6"/>
  <c r="L21" i="6" s="1"/>
  <c r="E36" i="5"/>
  <c r="F36" i="5"/>
  <c r="I38" i="6"/>
  <c r="L38" i="6" s="1"/>
  <c r="J38" i="6"/>
  <c r="N38" i="6" s="1"/>
  <c r="O38" i="6" s="1"/>
  <c r="E15" i="5"/>
  <c r="F15" i="5"/>
  <c r="J47" i="6"/>
  <c r="N47" i="6" s="1"/>
  <c r="O47" i="6" s="1"/>
  <c r="I47" i="6"/>
  <c r="L47" i="6" s="1"/>
  <c r="J52" i="6"/>
  <c r="N52" i="6" s="1"/>
  <c r="O52" i="6" s="1"/>
  <c r="I52" i="6"/>
  <c r="L52" i="6" s="1"/>
  <c r="F29" i="5"/>
  <c r="E29" i="5"/>
  <c r="J31" i="6"/>
  <c r="N31" i="6" s="1"/>
  <c r="O31" i="6" s="1"/>
  <c r="I31" i="6"/>
  <c r="L31" i="6" s="1"/>
  <c r="F11" i="5"/>
  <c r="E11" i="5"/>
  <c r="J48" i="6"/>
  <c r="N48" i="6" s="1"/>
  <c r="O48" i="6" s="1"/>
  <c r="I48" i="6"/>
  <c r="L48" i="6" s="1"/>
  <c r="F19" i="5"/>
  <c r="E19" i="5"/>
  <c r="J17" i="6"/>
  <c r="N17" i="6" s="1"/>
  <c r="O17" i="6" s="1"/>
  <c r="I17" i="6"/>
  <c r="L17" i="6" s="1"/>
  <c r="J54" i="6"/>
  <c r="N54" i="6" s="1"/>
  <c r="O54" i="6" s="1"/>
  <c r="I54" i="6"/>
  <c r="L54" i="6" s="1"/>
  <c r="E26" i="5"/>
  <c r="F26" i="5"/>
  <c r="F58" i="5"/>
  <c r="E58" i="5"/>
  <c r="J32" i="6"/>
  <c r="N32" i="6" s="1"/>
  <c r="O32" i="6" s="1"/>
  <c r="I32" i="6"/>
  <c r="L32" i="6" s="1"/>
  <c r="J13" i="6"/>
  <c r="N13" i="6" s="1"/>
  <c r="I13" i="6"/>
  <c r="L13" i="6" s="1"/>
  <c r="J24" i="6"/>
  <c r="N24" i="6" s="1"/>
  <c r="O24" i="6" s="1"/>
  <c r="I24" i="6"/>
  <c r="L24" i="6" s="1"/>
  <c r="T24" i="6" l="1"/>
  <c r="M24" i="6"/>
  <c r="T17" i="6"/>
  <c r="M17" i="6"/>
  <c r="T31" i="6"/>
  <c r="M31" i="6"/>
  <c r="T70" i="6"/>
  <c r="M70" i="6"/>
  <c r="T58" i="6"/>
  <c r="M58" i="6"/>
  <c r="T72" i="6"/>
  <c r="M72" i="6"/>
  <c r="T35" i="6"/>
  <c r="M35" i="6"/>
  <c r="T19" i="6"/>
  <c r="M19" i="6"/>
  <c r="M33" i="6"/>
  <c r="T33" i="6"/>
  <c r="T53" i="6"/>
  <c r="M53" i="6"/>
  <c r="M34" i="6"/>
  <c r="T34" i="6"/>
  <c r="T62" i="6"/>
  <c r="M62" i="6"/>
  <c r="T22" i="6"/>
  <c r="M22" i="6"/>
  <c r="T14" i="6"/>
  <c r="M14" i="6"/>
  <c r="T37" i="6"/>
  <c r="M37" i="6"/>
  <c r="T43" i="6"/>
  <c r="M43" i="6"/>
  <c r="T74" i="6"/>
  <c r="M74" i="6"/>
  <c r="T52" i="6"/>
  <c r="M52" i="6"/>
  <c r="T60" i="6"/>
  <c r="M60" i="6"/>
  <c r="T47" i="6"/>
  <c r="M47" i="6"/>
  <c r="T21" i="6"/>
  <c r="M21" i="6"/>
  <c r="T40" i="6"/>
  <c r="M40" i="6"/>
  <c r="T50" i="6"/>
  <c r="M50" i="6"/>
  <c r="T46" i="6"/>
  <c r="M46" i="6"/>
  <c r="T57" i="6"/>
  <c r="M57" i="6"/>
  <c r="T66" i="6"/>
  <c r="M66" i="6"/>
  <c r="T73" i="6"/>
  <c r="M73" i="6"/>
  <c r="T27" i="6"/>
  <c r="M27" i="6"/>
  <c r="T55" i="6"/>
  <c r="M55" i="6"/>
  <c r="T20" i="6"/>
  <c r="M20" i="6"/>
  <c r="T16" i="6"/>
  <c r="M16" i="6"/>
  <c r="T18" i="6"/>
  <c r="M18" i="6"/>
  <c r="T56" i="6"/>
  <c r="M56" i="6"/>
  <c r="T68" i="6"/>
  <c r="M68" i="6"/>
  <c r="E2" i="5"/>
  <c r="F2" i="5"/>
  <c r="M69" i="6"/>
  <c r="T69" i="6"/>
  <c r="T39" i="6"/>
  <c r="M39" i="6"/>
  <c r="M61" i="6"/>
  <c r="T61" i="6"/>
  <c r="M59" i="6"/>
  <c r="T59" i="6"/>
  <c r="T29" i="6"/>
  <c r="M29" i="6"/>
  <c r="T49" i="6"/>
  <c r="M49" i="6"/>
  <c r="T32" i="6"/>
  <c r="M32" i="6"/>
  <c r="T48" i="6"/>
  <c r="M48" i="6"/>
  <c r="M63" i="6"/>
  <c r="T63" i="6"/>
  <c r="T28" i="6"/>
  <c r="M28" i="6"/>
  <c r="T51" i="6"/>
  <c r="M51" i="6"/>
  <c r="T15" i="6"/>
  <c r="M15" i="6"/>
  <c r="T13" i="6"/>
  <c r="M13" i="6"/>
  <c r="L8" i="6"/>
  <c r="T54" i="6"/>
  <c r="M54" i="6"/>
  <c r="N8" i="6"/>
  <c r="O13" i="6"/>
  <c r="T38" i="6"/>
  <c r="M38" i="6"/>
  <c r="T41" i="6"/>
  <c r="M41" i="6"/>
  <c r="T23" i="6"/>
  <c r="M23" i="6"/>
  <c r="T42" i="6"/>
  <c r="M42" i="6"/>
  <c r="T44" i="6"/>
  <c r="M44" i="6"/>
  <c r="M67" i="6"/>
  <c r="T67" i="6"/>
  <c r="T25" i="6"/>
  <c r="M25" i="6"/>
  <c r="T71" i="6"/>
  <c r="M71" i="6"/>
  <c r="T30" i="6"/>
  <c r="M30" i="6"/>
  <c r="T64" i="6"/>
  <c r="M64" i="6"/>
  <c r="T65" i="6"/>
  <c r="M65" i="6"/>
  <c r="T26" i="6"/>
  <c r="M26" i="6"/>
  <c r="T36" i="6"/>
  <c r="M36" i="6"/>
  <c r="T45" i="6"/>
  <c r="M45" i="6"/>
  <c r="Y13" i="6" l="1"/>
  <c r="T8" i="6"/>
  <c r="U13" i="6"/>
  <c r="Y51" i="6"/>
  <c r="U51" i="6"/>
  <c r="Y32" i="6"/>
  <c r="U32" i="6"/>
  <c r="U29" i="6"/>
  <c r="Y29" i="6"/>
  <c r="U68" i="6"/>
  <c r="Y68" i="6"/>
  <c r="U18" i="6"/>
  <c r="Y18" i="6"/>
  <c r="U20" i="6"/>
  <c r="Y20" i="6"/>
  <c r="Y27" i="6"/>
  <c r="U27" i="6"/>
  <c r="U66" i="6"/>
  <c r="Y66" i="6"/>
  <c r="U46" i="6"/>
  <c r="Y46" i="6"/>
  <c r="U40" i="6"/>
  <c r="Y40" i="6"/>
  <c r="Y47" i="6"/>
  <c r="U47" i="6"/>
  <c r="U52" i="6"/>
  <c r="Y52" i="6"/>
  <c r="Y43" i="6"/>
  <c r="U43" i="6"/>
  <c r="U14" i="6"/>
  <c r="Y14" i="6"/>
  <c r="U62" i="6"/>
  <c r="Y62" i="6"/>
  <c r="Y53" i="6"/>
  <c r="U53" i="6"/>
  <c r="Y19" i="6"/>
  <c r="U19" i="6"/>
  <c r="Y72" i="6"/>
  <c r="U72" i="6"/>
  <c r="U70" i="6"/>
  <c r="Y70" i="6"/>
  <c r="Y17" i="6"/>
  <c r="U17" i="6"/>
  <c r="Y45" i="6"/>
  <c r="U45" i="6"/>
  <c r="U64" i="6"/>
  <c r="Y64" i="6"/>
  <c r="Y41" i="6"/>
  <c r="U41" i="6"/>
  <c r="Y63" i="6"/>
  <c r="U63" i="6"/>
  <c r="Y69" i="6"/>
  <c r="U69" i="6"/>
  <c r="Y30" i="6"/>
  <c r="U30" i="6"/>
  <c r="Y23" i="6"/>
  <c r="U23" i="6"/>
  <c r="U54" i="6"/>
  <c r="Y54" i="6"/>
  <c r="Y59" i="6"/>
  <c r="U59" i="6"/>
  <c r="Y34" i="6"/>
  <c r="U34" i="6"/>
  <c r="U33" i="6"/>
  <c r="Y33" i="6"/>
  <c r="U26" i="6"/>
  <c r="Y26" i="6"/>
  <c r="U71" i="6"/>
  <c r="Y71" i="6"/>
  <c r="U42" i="6"/>
  <c r="Y42" i="6"/>
  <c r="Y61" i="6"/>
  <c r="U61" i="6"/>
  <c r="U36" i="6"/>
  <c r="Y36" i="6"/>
  <c r="Y65" i="6"/>
  <c r="U65" i="6"/>
  <c r="Y25" i="6"/>
  <c r="U25" i="6"/>
  <c r="U44" i="6"/>
  <c r="Y44" i="6"/>
  <c r="U38" i="6"/>
  <c r="Y38" i="6"/>
  <c r="Y67" i="6"/>
  <c r="U67" i="6"/>
  <c r="Y15" i="6"/>
  <c r="U15" i="6"/>
  <c r="Y28" i="6"/>
  <c r="U28" i="6"/>
  <c r="U48" i="6"/>
  <c r="Y48" i="6"/>
  <c r="Y49" i="6"/>
  <c r="U49" i="6"/>
  <c r="Y39" i="6"/>
  <c r="U39" i="6"/>
  <c r="U56" i="6"/>
  <c r="Y56" i="6"/>
  <c r="U16" i="6"/>
  <c r="Y16" i="6"/>
  <c r="Y55" i="6"/>
  <c r="U55" i="6"/>
  <c r="U73" i="6"/>
  <c r="Y73" i="6"/>
  <c r="Y57" i="6"/>
  <c r="U57" i="6"/>
  <c r="U50" i="6"/>
  <c r="Y50" i="6"/>
  <c r="Y21" i="6"/>
  <c r="U21" i="6"/>
  <c r="U60" i="6"/>
  <c r="Y60" i="6"/>
  <c r="Y74" i="6"/>
  <c r="U74" i="6"/>
  <c r="U37" i="6"/>
  <c r="Y37" i="6"/>
  <c r="U22" i="6"/>
  <c r="Y22" i="6"/>
  <c r="U35" i="6"/>
  <c r="Y35" i="6"/>
  <c r="U58" i="6"/>
  <c r="Y58" i="6"/>
  <c r="U31" i="6"/>
  <c r="Y31" i="6"/>
  <c r="U24" i="6"/>
  <c r="Y24" i="6"/>
  <c r="AT71" i="2" l="1"/>
  <c r="AS71" i="2"/>
  <c r="AR71" i="2"/>
  <c r="AQ71" i="2"/>
  <c r="AP71" i="2"/>
  <c r="AO71" i="2"/>
  <c r="AN71" i="2"/>
  <c r="AM71" i="2"/>
  <c r="AL71" i="2"/>
  <c r="AK71" i="2"/>
  <c r="AJ71" i="2"/>
  <c r="AI71" i="2"/>
  <c r="AH71" i="2"/>
  <c r="AB71" i="2"/>
  <c r="Z71" i="2"/>
  <c r="AT70" i="2"/>
  <c r="AS70" i="2"/>
  <c r="AR70" i="2"/>
  <c r="AQ70" i="2"/>
  <c r="AP70" i="2"/>
  <c r="AO70" i="2"/>
  <c r="AN70" i="2"/>
  <c r="AM70" i="2"/>
  <c r="AL70" i="2"/>
  <c r="AK70" i="2"/>
  <c r="AJ70" i="2"/>
  <c r="AI70" i="2"/>
  <c r="AH70" i="2"/>
  <c r="AB70" i="2"/>
  <c r="Z70" i="2"/>
  <c r="AT69" i="2"/>
  <c r="AS69" i="2"/>
  <c r="AR69" i="2"/>
  <c r="AQ69" i="2"/>
  <c r="AP69" i="2"/>
  <c r="AO69" i="2"/>
  <c r="AN69" i="2"/>
  <c r="AM69" i="2"/>
  <c r="AL69" i="2"/>
  <c r="AK69" i="2"/>
  <c r="AJ69" i="2"/>
  <c r="AI69" i="2"/>
  <c r="AH69" i="2"/>
  <c r="AB69" i="2"/>
  <c r="Z69" i="2"/>
  <c r="AT68" i="2"/>
  <c r="AS68" i="2"/>
  <c r="AR68" i="2"/>
  <c r="AQ68" i="2"/>
  <c r="AP68" i="2"/>
  <c r="AO68" i="2"/>
  <c r="AN68" i="2"/>
  <c r="AM68" i="2"/>
  <c r="AL68" i="2"/>
  <c r="AK68" i="2"/>
  <c r="AJ68" i="2"/>
  <c r="AI68" i="2"/>
  <c r="AH68" i="2"/>
  <c r="AB68" i="2"/>
  <c r="Z68" i="2"/>
  <c r="AT100" i="2" l="1"/>
  <c r="AS100" i="2"/>
  <c r="AR100" i="2"/>
  <c r="AQ100" i="2"/>
  <c r="AP100" i="2"/>
  <c r="AO100" i="2"/>
  <c r="AN100" i="2"/>
  <c r="AM100" i="2"/>
  <c r="AL100" i="2"/>
  <c r="AK100" i="2"/>
  <c r="AJ100" i="2"/>
  <c r="AI100" i="2"/>
  <c r="AH100" i="2"/>
  <c r="AB100" i="2"/>
  <c r="Z100" i="2"/>
  <c r="AT99" i="2"/>
  <c r="AS99" i="2"/>
  <c r="AR99" i="2"/>
  <c r="AQ99" i="2"/>
  <c r="AP99" i="2"/>
  <c r="AO99" i="2"/>
  <c r="AN99" i="2"/>
  <c r="AM99" i="2"/>
  <c r="AL99" i="2"/>
  <c r="AK99" i="2"/>
  <c r="AJ99" i="2"/>
  <c r="AI99" i="2"/>
  <c r="AH99" i="2"/>
  <c r="AB99" i="2"/>
  <c r="Z99" i="2"/>
  <c r="AT98" i="2"/>
  <c r="AS98" i="2"/>
  <c r="AR98" i="2"/>
  <c r="AQ98" i="2"/>
  <c r="AP98" i="2"/>
  <c r="AO98" i="2"/>
  <c r="AN98" i="2"/>
  <c r="AM98" i="2"/>
  <c r="AL98" i="2"/>
  <c r="AK98" i="2"/>
  <c r="AJ98" i="2"/>
  <c r="AI98" i="2"/>
  <c r="AH98" i="2"/>
  <c r="AB98" i="2"/>
  <c r="Z98" i="2"/>
  <c r="AT97" i="2"/>
  <c r="AS97" i="2"/>
  <c r="AR97" i="2"/>
  <c r="AQ97" i="2"/>
  <c r="AP97" i="2"/>
  <c r="AO97" i="2"/>
  <c r="AN97" i="2"/>
  <c r="AM97" i="2"/>
  <c r="AL97" i="2"/>
  <c r="AK97" i="2"/>
  <c r="AJ97" i="2"/>
  <c r="AI97" i="2"/>
  <c r="AH97" i="2"/>
  <c r="AB97" i="2"/>
  <c r="Z97" i="2"/>
  <c r="AT96" i="2"/>
  <c r="AS96" i="2"/>
  <c r="AR96" i="2"/>
  <c r="AQ96" i="2"/>
  <c r="AP96" i="2"/>
  <c r="AO96" i="2"/>
  <c r="AN96" i="2"/>
  <c r="AM96" i="2"/>
  <c r="AL96" i="2"/>
  <c r="AK96" i="2"/>
  <c r="AJ96" i="2"/>
  <c r="AI96" i="2"/>
  <c r="AH96" i="2"/>
  <c r="AB96" i="2"/>
  <c r="Z96" i="2"/>
  <c r="AT95" i="2"/>
  <c r="AS95" i="2"/>
  <c r="AR95" i="2"/>
  <c r="AQ95" i="2"/>
  <c r="AP95" i="2"/>
  <c r="AO95" i="2"/>
  <c r="AN95" i="2"/>
  <c r="AM95" i="2"/>
  <c r="AL95" i="2"/>
  <c r="AK95" i="2"/>
  <c r="AJ95" i="2"/>
  <c r="AI95" i="2"/>
  <c r="AH95" i="2"/>
  <c r="AB95" i="2"/>
  <c r="Z95" i="2"/>
  <c r="AT94" i="2"/>
  <c r="AS94" i="2"/>
  <c r="AR94" i="2"/>
  <c r="AQ94" i="2"/>
  <c r="AP94" i="2"/>
  <c r="AO94" i="2"/>
  <c r="AN94" i="2"/>
  <c r="AM94" i="2"/>
  <c r="AL94" i="2"/>
  <c r="AK94" i="2"/>
  <c r="AJ94" i="2"/>
  <c r="AI94" i="2"/>
  <c r="AH94" i="2"/>
  <c r="AB94" i="2"/>
  <c r="Z94" i="2"/>
  <c r="AT93" i="2"/>
  <c r="AS93" i="2"/>
  <c r="AR93" i="2"/>
  <c r="AQ93" i="2"/>
  <c r="AP93" i="2"/>
  <c r="AO93" i="2"/>
  <c r="AN93" i="2"/>
  <c r="AM93" i="2"/>
  <c r="AL93" i="2"/>
  <c r="AK93" i="2"/>
  <c r="AJ93" i="2"/>
  <c r="AI93" i="2"/>
  <c r="AH93" i="2"/>
  <c r="AB93" i="2"/>
  <c r="Z93" i="2"/>
  <c r="AT92" i="2"/>
  <c r="AS92" i="2"/>
  <c r="AR92" i="2"/>
  <c r="AQ92" i="2"/>
  <c r="AP92" i="2"/>
  <c r="AO92" i="2"/>
  <c r="AN92" i="2"/>
  <c r="AM92" i="2"/>
  <c r="AL92" i="2"/>
  <c r="AK92" i="2"/>
  <c r="AJ92" i="2"/>
  <c r="AI92" i="2"/>
  <c r="AH92" i="2"/>
  <c r="AB92" i="2"/>
  <c r="Z92" i="2"/>
  <c r="AT91" i="2"/>
  <c r="AS91" i="2"/>
  <c r="AR91" i="2"/>
  <c r="AQ91" i="2"/>
  <c r="AP91" i="2"/>
  <c r="AO91" i="2"/>
  <c r="AN91" i="2"/>
  <c r="AM91" i="2"/>
  <c r="AL91" i="2"/>
  <c r="AK91" i="2"/>
  <c r="AJ91" i="2"/>
  <c r="AI91" i="2"/>
  <c r="AH91" i="2"/>
  <c r="AB91" i="2"/>
  <c r="Z91" i="2"/>
  <c r="AT90" i="2"/>
  <c r="AS90" i="2"/>
  <c r="AR90" i="2"/>
  <c r="AQ90" i="2"/>
  <c r="AP90" i="2"/>
  <c r="AO90" i="2"/>
  <c r="AN90" i="2"/>
  <c r="AM90" i="2"/>
  <c r="AL90" i="2"/>
  <c r="AK90" i="2"/>
  <c r="AJ90" i="2"/>
  <c r="AI90" i="2"/>
  <c r="AH90" i="2"/>
  <c r="AB90" i="2"/>
  <c r="Z90" i="2"/>
  <c r="AT89" i="2"/>
  <c r="AS89" i="2"/>
  <c r="AR89" i="2"/>
  <c r="AQ89" i="2"/>
  <c r="AP89" i="2"/>
  <c r="AO89" i="2"/>
  <c r="AN89" i="2"/>
  <c r="AM89" i="2"/>
  <c r="AL89" i="2"/>
  <c r="AK89" i="2"/>
  <c r="AJ89" i="2"/>
  <c r="AI89" i="2"/>
  <c r="AH89" i="2"/>
  <c r="AB89" i="2"/>
  <c r="Z89" i="2"/>
  <c r="AT88" i="2"/>
  <c r="AS88" i="2"/>
  <c r="AR88" i="2"/>
  <c r="AQ88" i="2"/>
  <c r="AP88" i="2"/>
  <c r="AO88" i="2"/>
  <c r="AN88" i="2"/>
  <c r="AM88" i="2"/>
  <c r="AL88" i="2"/>
  <c r="AK88" i="2"/>
  <c r="AJ88" i="2"/>
  <c r="AI88" i="2"/>
  <c r="AH88" i="2"/>
  <c r="AB88" i="2"/>
  <c r="Z88" i="2"/>
  <c r="AT87" i="2"/>
  <c r="AS87" i="2"/>
  <c r="AR87" i="2"/>
  <c r="AQ87" i="2"/>
  <c r="AP87" i="2"/>
  <c r="AO87" i="2"/>
  <c r="AN87" i="2"/>
  <c r="AM87" i="2"/>
  <c r="AL87" i="2"/>
  <c r="AK87" i="2"/>
  <c r="AJ87" i="2"/>
  <c r="AI87" i="2"/>
  <c r="AH87" i="2"/>
  <c r="AB87" i="2"/>
  <c r="Z87" i="2"/>
  <c r="AT86" i="2"/>
  <c r="AS86" i="2"/>
  <c r="AR86" i="2"/>
  <c r="AQ86" i="2"/>
  <c r="AP86" i="2"/>
  <c r="AO86" i="2"/>
  <c r="AN86" i="2"/>
  <c r="AM86" i="2"/>
  <c r="AL86" i="2"/>
  <c r="AK86" i="2"/>
  <c r="AJ86" i="2"/>
  <c r="AI86" i="2"/>
  <c r="AH86" i="2"/>
  <c r="AB86" i="2"/>
  <c r="Z86" i="2"/>
  <c r="AT85" i="2"/>
  <c r="AS85" i="2"/>
  <c r="AR85" i="2"/>
  <c r="AQ85" i="2"/>
  <c r="AP85" i="2"/>
  <c r="AO85" i="2"/>
  <c r="AN85" i="2"/>
  <c r="AM85" i="2"/>
  <c r="AL85" i="2"/>
  <c r="AK85" i="2"/>
  <c r="AJ85" i="2"/>
  <c r="AI85" i="2"/>
  <c r="AH85" i="2"/>
  <c r="AB85" i="2"/>
  <c r="Z85" i="2"/>
  <c r="AT84" i="2"/>
  <c r="AS84" i="2"/>
  <c r="AR84" i="2"/>
  <c r="AQ84" i="2"/>
  <c r="AP84" i="2"/>
  <c r="AO84" i="2"/>
  <c r="AN84" i="2"/>
  <c r="AM84" i="2"/>
  <c r="AL84" i="2"/>
  <c r="AK84" i="2"/>
  <c r="AJ84" i="2"/>
  <c r="AI84" i="2"/>
  <c r="AH84" i="2"/>
  <c r="AB84" i="2"/>
  <c r="Z84" i="2"/>
  <c r="AT83" i="2"/>
  <c r="AS83" i="2"/>
  <c r="AR83" i="2"/>
  <c r="AQ83" i="2"/>
  <c r="AP83" i="2"/>
  <c r="AO83" i="2"/>
  <c r="AN83" i="2"/>
  <c r="AM83" i="2"/>
  <c r="AL83" i="2"/>
  <c r="AK83" i="2"/>
  <c r="AJ83" i="2"/>
  <c r="AI83" i="2"/>
  <c r="AH83" i="2"/>
  <c r="AB83" i="2"/>
  <c r="Z83" i="2"/>
  <c r="AT82" i="2"/>
  <c r="AS82" i="2"/>
  <c r="AR82" i="2"/>
  <c r="AQ82" i="2"/>
  <c r="AP82" i="2"/>
  <c r="AO82" i="2"/>
  <c r="AN82" i="2"/>
  <c r="AM82" i="2"/>
  <c r="AL82" i="2"/>
  <c r="AK82" i="2"/>
  <c r="AJ82" i="2"/>
  <c r="AI82" i="2"/>
  <c r="AH82" i="2"/>
  <c r="AB82" i="2"/>
  <c r="Z82" i="2"/>
  <c r="AT81" i="2"/>
  <c r="AS81" i="2"/>
  <c r="AR81" i="2"/>
  <c r="AQ81" i="2"/>
  <c r="AP81" i="2"/>
  <c r="AO81" i="2"/>
  <c r="AN81" i="2"/>
  <c r="AM81" i="2"/>
  <c r="AL81" i="2"/>
  <c r="AK81" i="2"/>
  <c r="AJ81" i="2"/>
  <c r="AI81" i="2"/>
  <c r="AH81" i="2"/>
  <c r="AB81" i="2"/>
  <c r="Z81" i="2"/>
  <c r="AT80" i="2"/>
  <c r="AS80" i="2"/>
  <c r="AR80" i="2"/>
  <c r="AQ80" i="2"/>
  <c r="AP80" i="2"/>
  <c r="AO80" i="2"/>
  <c r="AN80" i="2"/>
  <c r="AM80" i="2"/>
  <c r="AL80" i="2"/>
  <c r="AK80" i="2"/>
  <c r="AJ80" i="2"/>
  <c r="AI80" i="2"/>
  <c r="AH80" i="2"/>
  <c r="AB80" i="2"/>
  <c r="Z80" i="2"/>
  <c r="AT79" i="2"/>
  <c r="AS79" i="2"/>
  <c r="AR79" i="2"/>
  <c r="AQ79" i="2"/>
  <c r="AP79" i="2"/>
  <c r="AO79" i="2"/>
  <c r="AN79" i="2"/>
  <c r="AM79" i="2"/>
  <c r="AL79" i="2"/>
  <c r="AK79" i="2"/>
  <c r="AJ79" i="2"/>
  <c r="AI79" i="2"/>
  <c r="AH79" i="2"/>
  <c r="AB79" i="2"/>
  <c r="Z79" i="2"/>
  <c r="AT78" i="2"/>
  <c r="AS78" i="2"/>
  <c r="AR78" i="2"/>
  <c r="AQ78" i="2"/>
  <c r="AP78" i="2"/>
  <c r="AO78" i="2"/>
  <c r="AN78" i="2"/>
  <c r="AM78" i="2"/>
  <c r="AL78" i="2"/>
  <c r="AK78" i="2"/>
  <c r="AJ78" i="2"/>
  <c r="AI78" i="2"/>
  <c r="AH78" i="2"/>
  <c r="AB78" i="2"/>
  <c r="Z78" i="2"/>
  <c r="AT77" i="2"/>
  <c r="AS77" i="2"/>
  <c r="AR77" i="2"/>
  <c r="AQ77" i="2"/>
  <c r="AP77" i="2"/>
  <c r="AO77" i="2"/>
  <c r="AN77" i="2"/>
  <c r="AM77" i="2"/>
  <c r="AL77" i="2"/>
  <c r="AK77" i="2"/>
  <c r="AJ77" i="2"/>
  <c r="AI77" i="2"/>
  <c r="AH77" i="2"/>
  <c r="AB77" i="2"/>
  <c r="Z77" i="2"/>
  <c r="AT76" i="2"/>
  <c r="AS76" i="2"/>
  <c r="AR76" i="2"/>
  <c r="AQ76" i="2"/>
  <c r="AP76" i="2"/>
  <c r="AO76" i="2"/>
  <c r="AN76" i="2"/>
  <c r="AM76" i="2"/>
  <c r="AL76" i="2"/>
  <c r="AK76" i="2"/>
  <c r="AJ76" i="2"/>
  <c r="AI76" i="2"/>
  <c r="AH76" i="2"/>
  <c r="AB76" i="2"/>
  <c r="Z76" i="2"/>
  <c r="AT75" i="2"/>
  <c r="AS75" i="2"/>
  <c r="AR75" i="2"/>
  <c r="AQ75" i="2"/>
  <c r="AP75" i="2"/>
  <c r="AO75" i="2"/>
  <c r="AN75" i="2"/>
  <c r="AM75" i="2"/>
  <c r="AL75" i="2"/>
  <c r="AK75" i="2"/>
  <c r="AJ75" i="2"/>
  <c r="AI75" i="2"/>
  <c r="AH75" i="2"/>
  <c r="AB75" i="2"/>
  <c r="Z75" i="2"/>
  <c r="AT74" i="2"/>
  <c r="AS74" i="2"/>
  <c r="AR74" i="2"/>
  <c r="AQ74" i="2"/>
  <c r="AP74" i="2"/>
  <c r="AO74" i="2"/>
  <c r="AN74" i="2"/>
  <c r="AM74" i="2"/>
  <c r="AL74" i="2"/>
  <c r="AK74" i="2"/>
  <c r="AJ74" i="2"/>
  <c r="AI74" i="2"/>
  <c r="AH74" i="2"/>
  <c r="AB74" i="2"/>
  <c r="Z74" i="2"/>
  <c r="AT73" i="2"/>
  <c r="AS73" i="2"/>
  <c r="AR73" i="2"/>
  <c r="AQ73" i="2"/>
  <c r="AP73" i="2"/>
  <c r="AO73" i="2"/>
  <c r="AN73" i="2"/>
  <c r="AM73" i="2"/>
  <c r="AL73" i="2"/>
  <c r="AK73" i="2"/>
  <c r="AJ73" i="2"/>
  <c r="AI73" i="2"/>
  <c r="AH73" i="2"/>
  <c r="AB73" i="2"/>
  <c r="Z73" i="2"/>
  <c r="AT72" i="2"/>
  <c r="AS72" i="2"/>
  <c r="AR72" i="2"/>
  <c r="AQ72" i="2"/>
  <c r="AP72" i="2"/>
  <c r="AO72" i="2"/>
  <c r="AN72" i="2"/>
  <c r="AM72" i="2"/>
  <c r="AL72" i="2"/>
  <c r="AK72" i="2"/>
  <c r="AJ72" i="2"/>
  <c r="AI72" i="2"/>
  <c r="AH72" i="2"/>
  <c r="AB72" i="2"/>
  <c r="Z72" i="2"/>
  <c r="AT67" i="2"/>
  <c r="AS67" i="2"/>
  <c r="AR67" i="2"/>
  <c r="AQ67" i="2"/>
  <c r="AP67" i="2"/>
  <c r="AO67" i="2"/>
  <c r="AN67" i="2"/>
  <c r="AM67" i="2"/>
  <c r="AL67" i="2"/>
  <c r="AK67" i="2"/>
  <c r="AJ67" i="2"/>
  <c r="AI67" i="2"/>
  <c r="AH67" i="2"/>
  <c r="AB67" i="2"/>
  <c r="Z67" i="2"/>
  <c r="AT66" i="2"/>
  <c r="AS66" i="2"/>
  <c r="AR66" i="2"/>
  <c r="AQ66" i="2"/>
  <c r="AP66" i="2"/>
  <c r="AO66" i="2"/>
  <c r="AN66" i="2"/>
  <c r="AM66" i="2"/>
  <c r="AL66" i="2"/>
  <c r="AK66" i="2"/>
  <c r="AJ66" i="2"/>
  <c r="AI66" i="2"/>
  <c r="AH66" i="2"/>
  <c r="AB66" i="2"/>
  <c r="Z66" i="2"/>
  <c r="AT65" i="2"/>
  <c r="AS65" i="2"/>
  <c r="AR65" i="2"/>
  <c r="AQ65" i="2"/>
  <c r="AP65" i="2"/>
  <c r="AO65" i="2"/>
  <c r="AN65" i="2"/>
  <c r="AM65" i="2"/>
  <c r="AL65" i="2"/>
  <c r="AK65" i="2"/>
  <c r="AJ65" i="2"/>
  <c r="AI65" i="2"/>
  <c r="AH65" i="2"/>
  <c r="AB65" i="2"/>
  <c r="Z65" i="2"/>
  <c r="AT64" i="2"/>
  <c r="AS64" i="2"/>
  <c r="AR64" i="2"/>
  <c r="AQ64" i="2"/>
  <c r="AP64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Z64" i="2"/>
  <c r="I64" i="2"/>
  <c r="AT63" i="2"/>
  <c r="AS63" i="2"/>
  <c r="AR63" i="2"/>
  <c r="AQ63" i="2"/>
  <c r="AP63" i="2"/>
  <c r="AO63" i="2"/>
  <c r="AN63" i="2"/>
  <c r="AM63" i="2"/>
  <c r="AL63" i="2"/>
  <c r="AK63" i="2"/>
  <c r="AJ63" i="2"/>
  <c r="AI63" i="2"/>
  <c r="AH63" i="2"/>
  <c r="AG63" i="2"/>
  <c r="AF63" i="2"/>
  <c r="AE63" i="2"/>
  <c r="AD63" i="2"/>
  <c r="AC63" i="2"/>
  <c r="AB63" i="2"/>
  <c r="Z63" i="2"/>
  <c r="I63" i="2"/>
  <c r="AT62" i="2"/>
  <c r="AS62" i="2"/>
  <c r="AR62" i="2"/>
  <c r="AQ62" i="2"/>
  <c r="AP62" i="2"/>
  <c r="AO62" i="2"/>
  <c r="AN62" i="2"/>
  <c r="AM62" i="2"/>
  <c r="AL62" i="2"/>
  <c r="AK62" i="2"/>
  <c r="AJ62" i="2"/>
  <c r="AI62" i="2"/>
  <c r="AH62" i="2"/>
  <c r="AG62" i="2"/>
  <c r="AF62" i="2"/>
  <c r="AE62" i="2"/>
  <c r="AD62" i="2"/>
  <c r="AC62" i="2"/>
  <c r="AB62" i="2"/>
  <c r="Z62" i="2"/>
  <c r="I62" i="2"/>
  <c r="AT61" i="2"/>
  <c r="AS61" i="2"/>
  <c r="AR61" i="2"/>
  <c r="AQ61" i="2"/>
  <c r="AP61" i="2"/>
  <c r="AO61" i="2"/>
  <c r="AN61" i="2"/>
  <c r="AM61" i="2"/>
  <c r="AL61" i="2"/>
  <c r="AK61" i="2"/>
  <c r="AJ61" i="2"/>
  <c r="AI61" i="2"/>
  <c r="AH61" i="2"/>
  <c r="AG61" i="2"/>
  <c r="AF61" i="2"/>
  <c r="AE61" i="2"/>
  <c r="AD61" i="2"/>
  <c r="AC61" i="2"/>
  <c r="AB61" i="2"/>
  <c r="Z61" i="2"/>
  <c r="I61" i="2"/>
  <c r="AT60" i="2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Z60" i="2"/>
  <c r="I60" i="2"/>
  <c r="AT59" i="2"/>
  <c r="AS59" i="2"/>
  <c r="AR59" i="2"/>
  <c r="AQ59" i="2"/>
  <c r="AP59" i="2"/>
  <c r="AO59" i="2"/>
  <c r="AN59" i="2"/>
  <c r="AM59" i="2"/>
  <c r="AL59" i="2"/>
  <c r="AK59" i="2"/>
  <c r="AJ59" i="2"/>
  <c r="AI59" i="2"/>
  <c r="AH59" i="2"/>
  <c r="AG59" i="2"/>
  <c r="AF59" i="2"/>
  <c r="AE59" i="2"/>
  <c r="AD59" i="2"/>
  <c r="AC59" i="2"/>
  <c r="AB59" i="2"/>
  <c r="Z59" i="2"/>
  <c r="I59" i="2"/>
  <c r="AT58" i="2"/>
  <c r="AS58" i="2"/>
  <c r="AR58" i="2"/>
  <c r="AQ58" i="2"/>
  <c r="AP58" i="2"/>
  <c r="AO58" i="2"/>
  <c r="AN58" i="2"/>
  <c r="AM58" i="2"/>
  <c r="AL58" i="2"/>
  <c r="AK58" i="2"/>
  <c r="AJ58" i="2"/>
  <c r="AI58" i="2"/>
  <c r="AH58" i="2"/>
  <c r="AG58" i="2"/>
  <c r="AF58" i="2"/>
  <c r="AE58" i="2"/>
  <c r="AD58" i="2"/>
  <c r="AC58" i="2"/>
  <c r="AB58" i="2"/>
  <c r="Z58" i="2"/>
  <c r="I58" i="2"/>
  <c r="AT57" i="2"/>
  <c r="AS57" i="2"/>
  <c r="AR57" i="2"/>
  <c r="AQ57" i="2"/>
  <c r="AP57" i="2"/>
  <c r="AO57" i="2"/>
  <c r="AN57" i="2"/>
  <c r="AM57" i="2"/>
  <c r="AL57" i="2"/>
  <c r="AK57" i="2"/>
  <c r="AJ57" i="2"/>
  <c r="AI57" i="2"/>
  <c r="AH57" i="2"/>
  <c r="AG57" i="2"/>
  <c r="AF57" i="2"/>
  <c r="AE57" i="2"/>
  <c r="AD57" i="2"/>
  <c r="AC57" i="2"/>
  <c r="AB57" i="2"/>
  <c r="Z57" i="2"/>
  <c r="I57" i="2"/>
  <c r="AT56" i="2"/>
  <c r="AS56" i="2"/>
  <c r="AR56" i="2"/>
  <c r="AQ56" i="2"/>
  <c r="AP56" i="2"/>
  <c r="AO56" i="2"/>
  <c r="AN56" i="2"/>
  <c r="AM56" i="2"/>
  <c r="AL56" i="2"/>
  <c r="AK56" i="2"/>
  <c r="AJ56" i="2"/>
  <c r="AI56" i="2"/>
  <c r="AH56" i="2"/>
  <c r="AG56" i="2"/>
  <c r="AF56" i="2"/>
  <c r="AE56" i="2"/>
  <c r="AD56" i="2"/>
  <c r="AC56" i="2"/>
  <c r="AB56" i="2"/>
  <c r="Z56" i="2"/>
  <c r="I56" i="2"/>
  <c r="AT55" i="2"/>
  <c r="AS55" i="2"/>
  <c r="AR55" i="2"/>
  <c r="AQ55" i="2"/>
  <c r="AP55" i="2"/>
  <c r="AO55" i="2"/>
  <c r="AN55" i="2"/>
  <c r="AM55" i="2"/>
  <c r="AL55" i="2"/>
  <c r="AK55" i="2"/>
  <c r="AJ55" i="2"/>
  <c r="AG55" i="2"/>
  <c r="AF55" i="2"/>
  <c r="AE55" i="2"/>
  <c r="AD55" i="2"/>
  <c r="AC55" i="2"/>
  <c r="AB55" i="2"/>
  <c r="L55" i="2"/>
  <c r="K55" i="2"/>
  <c r="AH55" i="2" s="1"/>
  <c r="I55" i="2"/>
  <c r="AT54" i="2"/>
  <c r="AS54" i="2"/>
  <c r="AR54" i="2"/>
  <c r="AQ54" i="2"/>
  <c r="AP54" i="2"/>
  <c r="AO54" i="2"/>
  <c r="AN54" i="2"/>
  <c r="AL54" i="2"/>
  <c r="AJ54" i="2"/>
  <c r="AI54" i="2"/>
  <c r="AH54" i="2"/>
  <c r="AG54" i="2"/>
  <c r="AF54" i="2"/>
  <c r="AE54" i="2"/>
  <c r="AD54" i="2"/>
  <c r="AC54" i="2"/>
  <c r="AB54" i="2"/>
  <c r="Q54" i="2"/>
  <c r="AM54" i="2" s="1"/>
  <c r="O54" i="2"/>
  <c r="Z54" i="2" s="1"/>
  <c r="I54" i="2"/>
  <c r="AT53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Z53" i="2"/>
  <c r="I53" i="2"/>
  <c r="AT52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Z52" i="2"/>
  <c r="I52" i="2"/>
  <c r="AT51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Z51" i="2"/>
  <c r="I51" i="2"/>
  <c r="AT50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Z50" i="2"/>
  <c r="I50" i="2"/>
  <c r="AT49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Z49" i="2"/>
  <c r="I49" i="2"/>
  <c r="AT48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Z48" i="2"/>
  <c r="I48" i="2"/>
  <c r="AT47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Z47" i="2"/>
  <c r="I47" i="2"/>
  <c r="AT46" i="2"/>
  <c r="AS46" i="2"/>
  <c r="AR46" i="2"/>
  <c r="AQ46" i="2"/>
  <c r="AP46" i="2"/>
  <c r="AO46" i="2"/>
  <c r="AN46" i="2"/>
  <c r="AM46" i="2"/>
  <c r="AL46" i="2"/>
  <c r="AK46" i="2"/>
  <c r="AJ46" i="2"/>
  <c r="AG46" i="2"/>
  <c r="AF46" i="2"/>
  <c r="AE46" i="2"/>
  <c r="AD46" i="2"/>
  <c r="AC46" i="2"/>
  <c r="AB46" i="2"/>
  <c r="L46" i="2"/>
  <c r="AI46" i="2" s="1"/>
  <c r="K46" i="2"/>
  <c r="AH46" i="2" s="1"/>
  <c r="I46" i="2"/>
  <c r="AT45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Z45" i="2"/>
  <c r="I45" i="2"/>
  <c r="AT44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Z44" i="2"/>
  <c r="I44" i="2"/>
  <c r="AT43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Z43" i="2"/>
  <c r="I43" i="2"/>
  <c r="AT42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Z42" i="2"/>
  <c r="I42" i="2"/>
  <c r="AT41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Z41" i="2"/>
  <c r="I41" i="2"/>
  <c r="AT40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Z40" i="2"/>
  <c r="I40" i="2"/>
  <c r="AT39" i="2"/>
  <c r="AS39" i="2"/>
  <c r="AR39" i="2"/>
  <c r="AQ39" i="2"/>
  <c r="AP39" i="2"/>
  <c r="AO39" i="2"/>
  <c r="AN39" i="2"/>
  <c r="AM39" i="2"/>
  <c r="AL39" i="2"/>
  <c r="AK39" i="2"/>
  <c r="AJ39" i="2"/>
  <c r="AG39" i="2"/>
  <c r="AF39" i="2"/>
  <c r="AE39" i="2"/>
  <c r="AD39" i="2"/>
  <c r="AC39" i="2"/>
  <c r="AB39" i="2"/>
  <c r="L39" i="2"/>
  <c r="AI39" i="2" s="1"/>
  <c r="K39" i="2"/>
  <c r="I39" i="2"/>
  <c r="AT38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Z38" i="2"/>
  <c r="I38" i="2"/>
  <c r="AT37" i="2"/>
  <c r="AS37" i="2"/>
  <c r="AR37" i="2"/>
  <c r="AQ37" i="2"/>
  <c r="AP37" i="2"/>
  <c r="AO37" i="2"/>
  <c r="AN37" i="2"/>
  <c r="AM37" i="2"/>
  <c r="AL37" i="2"/>
  <c r="AK37" i="2"/>
  <c r="AJ37" i="2"/>
  <c r="AG37" i="2"/>
  <c r="AF37" i="2"/>
  <c r="AE37" i="2"/>
  <c r="AD37" i="2"/>
  <c r="AC37" i="2"/>
  <c r="AB37" i="2"/>
  <c r="L37" i="2"/>
  <c r="AI37" i="2" s="1"/>
  <c r="K37" i="2"/>
  <c r="I37" i="2"/>
  <c r="AT36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Z36" i="2"/>
  <c r="I36" i="2"/>
  <c r="AT35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Z35" i="2"/>
  <c r="I35" i="2"/>
  <c r="AT34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Z34" i="2"/>
  <c r="I34" i="2"/>
  <c r="AT33" i="2"/>
  <c r="AS33" i="2"/>
  <c r="AR33" i="2"/>
  <c r="AQ33" i="2"/>
  <c r="AP33" i="2"/>
  <c r="AO33" i="2"/>
  <c r="AN33" i="2"/>
  <c r="AL33" i="2"/>
  <c r="AJ33" i="2"/>
  <c r="AI33" i="2"/>
  <c r="AH33" i="2"/>
  <c r="AG33" i="2"/>
  <c r="AF33" i="2"/>
  <c r="AE33" i="2"/>
  <c r="AD33" i="2"/>
  <c r="AC33" i="2"/>
  <c r="AB33" i="2"/>
  <c r="Q33" i="2"/>
  <c r="O33" i="2"/>
  <c r="AK33" i="2" s="1"/>
  <c r="I33" i="2"/>
  <c r="AT32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Z32" i="2"/>
  <c r="I32" i="2"/>
  <c r="AT31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Z31" i="2"/>
  <c r="I31" i="2"/>
  <c r="AT30" i="2"/>
  <c r="AS30" i="2"/>
  <c r="AR30" i="2"/>
  <c r="AQ30" i="2"/>
  <c r="AP30" i="2"/>
  <c r="AO30" i="2"/>
  <c r="AN30" i="2"/>
  <c r="AM30" i="2"/>
  <c r="AJ30" i="2"/>
  <c r="AI30" i="2"/>
  <c r="AH30" i="2"/>
  <c r="AG30" i="2"/>
  <c r="AF30" i="2"/>
  <c r="AE30" i="2"/>
  <c r="AD30" i="2"/>
  <c r="AC30" i="2"/>
  <c r="AB30" i="2"/>
  <c r="P30" i="2"/>
  <c r="AL30" i="2" s="1"/>
  <c r="O30" i="2"/>
  <c r="AK30" i="2" s="1"/>
  <c r="I30" i="2"/>
  <c r="AT29" i="2"/>
  <c r="AS29" i="2"/>
  <c r="AR29" i="2"/>
  <c r="AQ29" i="2"/>
  <c r="AP29" i="2"/>
  <c r="AO29" i="2"/>
  <c r="AN29" i="2"/>
  <c r="AM29" i="2"/>
  <c r="AL29" i="2"/>
  <c r="AK29" i="2"/>
  <c r="AJ29" i="2"/>
  <c r="AG29" i="2"/>
  <c r="AF29" i="2"/>
  <c r="AE29" i="2"/>
  <c r="AD29" i="2"/>
  <c r="AC29" i="2"/>
  <c r="AB29" i="2"/>
  <c r="L29" i="2"/>
  <c r="K29" i="2"/>
  <c r="AH29" i="2" s="1"/>
  <c r="I29" i="2"/>
  <c r="AT28" i="2"/>
  <c r="AS28" i="2"/>
  <c r="AR28" i="2"/>
  <c r="AQ28" i="2"/>
  <c r="AP28" i="2"/>
  <c r="AO28" i="2"/>
  <c r="AN28" i="2"/>
  <c r="AL28" i="2"/>
  <c r="AJ28" i="2"/>
  <c r="AI28" i="2"/>
  <c r="AH28" i="2"/>
  <c r="AG28" i="2"/>
  <c r="AF28" i="2"/>
  <c r="AE28" i="2"/>
  <c r="AD28" i="2"/>
  <c r="AC28" i="2"/>
  <c r="AB28" i="2"/>
  <c r="Q28" i="2"/>
  <c r="AM28" i="2" s="1"/>
  <c r="O28" i="2"/>
  <c r="I28" i="2"/>
  <c r="AT27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Z27" i="2"/>
  <c r="I27" i="2"/>
  <c r="AT26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Z26" i="2"/>
  <c r="I26" i="2"/>
  <c r="AT25" i="2"/>
  <c r="AS25" i="2"/>
  <c r="AR25" i="2"/>
  <c r="AQ25" i="2"/>
  <c r="AP25" i="2"/>
  <c r="AO25" i="2"/>
  <c r="AN25" i="2"/>
  <c r="AM25" i="2"/>
  <c r="AL25" i="2"/>
  <c r="AK25" i="2"/>
  <c r="AJ25" i="2"/>
  <c r="AG25" i="2"/>
  <c r="AF25" i="2"/>
  <c r="AE25" i="2"/>
  <c r="AD25" i="2"/>
  <c r="AC25" i="2"/>
  <c r="AB25" i="2"/>
  <c r="L25" i="2"/>
  <c r="K25" i="2"/>
  <c r="AH25" i="2" s="1"/>
  <c r="I25" i="2"/>
  <c r="AT24" i="2"/>
  <c r="AS24" i="2"/>
  <c r="AR24" i="2"/>
  <c r="AQ24" i="2"/>
  <c r="AP24" i="2"/>
  <c r="AO24" i="2"/>
  <c r="AN24" i="2"/>
  <c r="AL24" i="2"/>
  <c r="AJ24" i="2"/>
  <c r="AI24" i="2"/>
  <c r="AH24" i="2"/>
  <c r="AG24" i="2"/>
  <c r="AF24" i="2"/>
  <c r="AE24" i="2"/>
  <c r="AD24" i="2"/>
  <c r="AC24" i="2"/>
  <c r="AB24" i="2"/>
  <c r="Q24" i="2"/>
  <c r="AM24" i="2" s="1"/>
  <c r="O24" i="2"/>
  <c r="I24" i="2"/>
  <c r="AT23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Z23" i="2"/>
  <c r="I23" i="2"/>
  <c r="AT22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Z22" i="2"/>
  <c r="I22" i="2"/>
  <c r="AT21" i="2"/>
  <c r="AS21" i="2"/>
  <c r="AR21" i="2"/>
  <c r="AQ21" i="2"/>
  <c r="AP21" i="2"/>
  <c r="AO21" i="2"/>
  <c r="AN21" i="2"/>
  <c r="AL21" i="2"/>
  <c r="AJ21" i="2"/>
  <c r="AI21" i="2"/>
  <c r="AH21" i="2"/>
  <c r="AG21" i="2"/>
  <c r="AF21" i="2"/>
  <c r="AE21" i="2"/>
  <c r="AD21" i="2"/>
  <c r="AC21" i="2"/>
  <c r="AB21" i="2"/>
  <c r="Q21" i="2"/>
  <c r="O21" i="2"/>
  <c r="AK21" i="2" s="1"/>
  <c r="I21" i="2"/>
  <c r="AT20" i="2"/>
  <c r="AS20" i="2"/>
  <c r="AR20" i="2"/>
  <c r="AQ20" i="2"/>
  <c r="AP20" i="2"/>
  <c r="AO20" i="2"/>
  <c r="AN20" i="2"/>
  <c r="AL20" i="2"/>
  <c r="AJ20" i="2"/>
  <c r="AI20" i="2"/>
  <c r="AH20" i="2"/>
  <c r="AG20" i="2"/>
  <c r="AF20" i="2"/>
  <c r="AE20" i="2"/>
  <c r="AD20" i="2"/>
  <c r="AC20" i="2"/>
  <c r="AB20" i="2"/>
  <c r="Q20" i="2"/>
  <c r="AM20" i="2" s="1"/>
  <c r="O20" i="2"/>
  <c r="I20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Z19" i="2"/>
  <c r="I19" i="2"/>
  <c r="AT18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Z18" i="2"/>
  <c r="I18" i="2"/>
  <c r="AT17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Z17" i="2"/>
  <c r="I17" i="2"/>
  <c r="AT16" i="2"/>
  <c r="AS16" i="2"/>
  <c r="AR16" i="2"/>
  <c r="AQ16" i="2"/>
  <c r="AP16" i="2"/>
  <c r="AO16" i="2"/>
  <c r="AN16" i="2"/>
  <c r="AK16" i="2"/>
  <c r="AJ16" i="2"/>
  <c r="AI16" i="2"/>
  <c r="AH16" i="2"/>
  <c r="AG16" i="2"/>
  <c r="AF16" i="2"/>
  <c r="AE16" i="2"/>
  <c r="AD16" i="2"/>
  <c r="AC16" i="2"/>
  <c r="AB16" i="2"/>
  <c r="Q16" i="2"/>
  <c r="AM16" i="2" s="1"/>
  <c r="P16" i="2"/>
  <c r="AL16" i="2" s="1"/>
  <c r="I16" i="2"/>
  <c r="AT15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Z15" i="2"/>
  <c r="I15" i="2"/>
  <c r="AT14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Z14" i="2"/>
  <c r="I14" i="2"/>
  <c r="AT13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Z13" i="2"/>
  <c r="I13" i="2"/>
  <c r="AT12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Z12" i="2"/>
  <c r="I12" i="2"/>
  <c r="AT11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Z11" i="2"/>
  <c r="I11" i="2"/>
  <c r="AT10" i="2"/>
  <c r="AS10" i="2"/>
  <c r="AR10" i="2"/>
  <c r="AQ10" i="2"/>
  <c r="AP10" i="2"/>
  <c r="AO10" i="2"/>
  <c r="AN10" i="2"/>
  <c r="AL10" i="2"/>
  <c r="AJ10" i="2"/>
  <c r="AI10" i="2"/>
  <c r="AH10" i="2"/>
  <c r="AG10" i="2"/>
  <c r="AF10" i="2"/>
  <c r="AE10" i="2"/>
  <c r="AD10" i="2"/>
  <c r="AC10" i="2"/>
  <c r="AB10" i="2"/>
  <c r="Q10" i="2"/>
  <c r="AM10" i="2" s="1"/>
  <c r="O10" i="2"/>
  <c r="AK10" i="2" s="1"/>
  <c r="I10" i="2"/>
  <c r="Z39" i="2" l="1"/>
  <c r="Z28" i="2"/>
  <c r="Z20" i="2"/>
  <c r="Z16" i="2"/>
  <c r="AD2" i="2"/>
  <c r="Z46" i="2"/>
  <c r="AJ2" i="2"/>
  <c r="AJ4" i="2" s="1"/>
  <c r="AT2" i="2"/>
  <c r="AT4" i="2" s="1"/>
  <c r="Z30" i="2"/>
  <c r="Z37" i="2"/>
  <c r="Z10" i="2"/>
  <c r="AF2" i="2"/>
  <c r="AL2" i="2"/>
  <c r="AL4" i="2" s="1"/>
  <c r="AK20" i="2"/>
  <c r="AK2" i="2" s="1"/>
  <c r="AK4" i="2" s="1"/>
  <c r="AP2" i="2"/>
  <c r="AP4" i="2" s="1"/>
  <c r="Z24" i="2"/>
  <c r="AQ2" i="2"/>
  <c r="AQ4" i="2" s="1"/>
  <c r="AC2" i="2"/>
  <c r="AG2" i="2"/>
  <c r="AO2" i="2"/>
  <c r="AS2" i="2"/>
  <c r="AS4" i="2" s="1"/>
  <c r="AB3" i="2"/>
  <c r="AB4" i="2" s="1"/>
  <c r="Z25" i="2"/>
  <c r="AI25" i="2"/>
  <c r="AI29" i="2"/>
  <c r="Z29" i="2"/>
  <c r="AM33" i="2"/>
  <c r="Z33" i="2"/>
  <c r="AI55" i="2"/>
  <c r="Z55" i="2"/>
  <c r="AE2" i="2"/>
  <c r="AN2" i="2"/>
  <c r="AR2" i="2"/>
  <c r="AR4" i="2" s="1"/>
  <c r="AM21" i="2"/>
  <c r="Z21" i="2"/>
  <c r="AK24" i="2"/>
  <c r="AK28" i="2"/>
  <c r="AK54" i="2"/>
  <c r="AH37" i="2"/>
  <c r="AH39" i="2"/>
  <c r="AM2" i="2" l="1"/>
  <c r="AM4" i="2" s="1"/>
  <c r="AI2" i="2"/>
  <c r="AI4" i="2" s="1"/>
  <c r="AN4" i="2"/>
  <c r="AN3" i="2"/>
  <c r="AO4" i="2"/>
  <c r="AO3" i="2"/>
  <c r="AH2" i="2"/>
  <c r="AJ3" i="2" l="1"/>
  <c r="AH3" i="2"/>
  <c r="AH4" i="2"/>
  <c r="AU4" i="2" l="1"/>
  <c r="AH5" i="2" s="1"/>
  <c r="AL5" i="2" l="1"/>
  <c r="AP5" i="2"/>
  <c r="AT5" i="2"/>
  <c r="AM5" i="2"/>
  <c r="AI5" i="2"/>
  <c r="AN5" i="2"/>
  <c r="AS5" i="2"/>
  <c r="AO5" i="2"/>
  <c r="AK5" i="2"/>
  <c r="AJ5" i="2"/>
  <c r="AB5" i="2"/>
  <c r="AR5" i="2"/>
  <c r="AQ5" i="2"/>
  <c r="E31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</author>
  </authors>
  <commentList>
    <comment ref="B68" authorId="0" shapeId="0" xr:uid="{6C069FD1-5133-49CF-8C6C-26D1B10B1AEE}">
      <text>
        <r>
          <rPr>
            <b/>
            <sz val="9"/>
            <color indexed="81"/>
            <rFont val="Tahoma"/>
            <charset val="1"/>
          </rPr>
          <t>From Folio
12000 humans, 7000 sylvan elves, 3000 gnomes</t>
        </r>
      </text>
    </comment>
    <comment ref="B69" authorId="0" shapeId="0" xr:uid="{C2F57C6E-1952-49E8-9893-4C6A22DDC664}">
      <text>
        <r>
          <rPr>
            <b/>
            <sz val="9"/>
            <color indexed="81"/>
            <rFont val="Tahoma"/>
            <charset val="1"/>
          </rPr>
          <t>From Folio
20000 humans, 10000 sylvan elves, 6000 gnomes, 3000 high elves, 5000 hobgoblins, 3000 gnolls</t>
        </r>
      </text>
    </comment>
    <comment ref="B70" authorId="0" shapeId="0" xr:uid="{8311977A-B716-4DCE-9FC4-50400E5D5D43}">
      <text>
        <r>
          <rPr>
            <b/>
            <sz val="9"/>
            <color indexed="81"/>
            <rFont val="Tahoma"/>
            <charset val="1"/>
          </rPr>
          <t>From Folio:
5000 humans, 8000 sylvan elves, 1000 gnomes</t>
        </r>
      </text>
    </comment>
    <comment ref="B71" authorId="0" shapeId="0" xr:uid="{4F32573F-01F9-4657-B1B1-C8744573DEBC}">
      <text>
        <r>
          <rPr>
            <b/>
            <sz val="9"/>
            <color indexed="81"/>
            <rFont val="Tahoma"/>
            <charset val="1"/>
          </rPr>
          <t>From Folio
7000 humans, 11000 sylvan elves, 3000 gnomes, 1500 high elves</t>
        </r>
      </text>
    </comment>
    <comment ref="C87" authorId="0" shapeId="0" xr:uid="{0F57F317-571F-4D0D-9951-13A6551D2F08}">
      <text>
        <r>
          <rPr>
            <b/>
            <sz val="9"/>
            <color indexed="81"/>
            <rFont val="Tahoma"/>
            <charset val="1"/>
          </rPr>
          <t>10,000 fighting age dwarve live in the Glorioles as per Folio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</author>
  </authors>
  <commentList>
    <comment ref="D21" authorId="0" shapeId="0" xr:uid="{EA9B53E4-C64D-42F3-B29B-603BF647945D}">
      <text>
        <r>
          <rPr>
            <b/>
            <sz val="9"/>
            <color indexed="81"/>
            <rFont val="Tahoma"/>
            <family val="2"/>
          </rPr>
          <t>Hardby 20,000 pop.
Wild coast 40,000 pop.</t>
        </r>
      </text>
    </comment>
    <comment ref="D22" authorId="0" shapeId="0" xr:uid="{CC3AD753-693D-4F07-B135-44EDA81C995A}">
      <text>
        <r>
          <rPr>
            <b/>
            <sz val="9"/>
            <color indexed="81"/>
            <rFont val="Tahoma"/>
            <family val="2"/>
          </rPr>
          <t>Estimated</t>
        </r>
      </text>
    </comment>
    <comment ref="D23" authorId="0" shapeId="0" xr:uid="{8F89B8B6-189F-4384-8632-2FD38A54E811}">
      <text>
        <r>
          <rPr>
            <b/>
            <sz val="9"/>
            <color indexed="81"/>
            <rFont val="Tahoma"/>
            <family val="2"/>
          </rPr>
          <t>Estimated number</t>
        </r>
      </text>
    </comment>
    <comment ref="D26" authorId="0" shapeId="0" xr:uid="{9239EB7C-8FF5-429E-A512-148CD82C2942}">
      <text>
        <r>
          <rPr>
            <b/>
            <sz val="9"/>
            <color indexed="81"/>
            <rFont val="Tahoma"/>
            <family val="2"/>
          </rPr>
          <t>Estimated number</t>
        </r>
      </text>
    </comment>
    <comment ref="D28" authorId="0" shapeId="0" xr:uid="{A9A6F69B-0FE2-449C-86F3-C706C6CBDAAC}">
      <text>
        <r>
          <rPr>
            <b/>
            <sz val="9"/>
            <color indexed="81"/>
            <rFont val="Tahoma"/>
            <family val="2"/>
          </rPr>
          <t>Assuming 250,000 population of the Horned lands</t>
        </r>
      </text>
    </comment>
    <comment ref="D45" authorId="0" shapeId="0" xr:uid="{0A80A32B-5562-4225-BF57-03A8CEFBFF8E}">
      <text>
        <r>
          <rPr>
            <b/>
            <sz val="9"/>
            <color indexed="81"/>
            <rFont val="Tahoma"/>
            <family val="2"/>
          </rPr>
          <t>Estimated</t>
        </r>
      </text>
    </comment>
    <comment ref="D53" authorId="0" shapeId="0" xr:uid="{90F2E3DC-7994-4F99-91EF-47C985B69149}">
      <text>
        <r>
          <rPr>
            <b/>
            <sz val="9"/>
            <color indexed="81"/>
            <rFont val="Tahoma"/>
            <family val="2"/>
          </rPr>
          <t>Based on Rich D article on Canonfire.</t>
        </r>
      </text>
    </comment>
    <comment ref="D64" authorId="0" shapeId="0" xr:uid="{D63A862B-31EE-471F-9D43-2964EA6E3E90}">
      <text>
        <r>
          <rPr>
            <b/>
            <sz val="9"/>
            <color indexed="81"/>
            <rFont val="Tahoma"/>
            <family val="2"/>
          </rPr>
          <t>40,000 from Greyhawk domain.
120,000 from Pomarj empire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</author>
  </authors>
  <commentList>
    <comment ref="G11" authorId="0" shapeId="0" xr:uid="{61B1ECDE-1A8C-43FC-8CD6-A015CEA4BFE6}">
      <text>
        <r>
          <rPr>
            <b/>
            <sz val="9"/>
            <color indexed="81"/>
            <rFont val="Tahoma"/>
            <family val="2"/>
          </rPr>
          <t xml:space="preserve">Suggested value is 8 acres per person.
</t>
        </r>
        <r>
          <rPr>
            <sz val="9"/>
            <color indexed="81"/>
            <rFont val="Tahoma"/>
            <family val="2"/>
          </rPr>
          <t>An adult eats 3 acres worth of food per year. Assuming a two field system, that means 6 acres per person of "tamed" area. Add in 2 more acres to represent cattle grazing, hunting preserves, etc which are also tamed and take up more room per person.</t>
        </r>
      </text>
    </comment>
    <comment ref="B12" authorId="0" shapeId="0" xr:uid="{14998E99-976E-4AF0-8C4A-82972E37A81D}">
      <text>
        <r>
          <rPr>
            <b/>
            <sz val="9"/>
            <color indexed="81"/>
            <rFont val="Tahoma"/>
            <charset val="1"/>
          </rPr>
          <t>The Area here does not include areas such as mountains, large lakes, forest, etc.
See the Worksheet called "Area" for what is included and excluded from each country area.</t>
        </r>
      </text>
    </comment>
    <comment ref="C12" authorId="0" shapeId="0" xr:uid="{DDFD265C-42F4-40AE-A240-FF20A95B6F2A}">
      <text>
        <r>
          <rPr>
            <b/>
            <sz val="9"/>
            <color indexed="81"/>
            <rFont val="Tahoma"/>
            <charset val="1"/>
          </rPr>
          <t xml:space="preserve">5 = Country has been stable for several centuries.
4 = Country has been stable for a few decades.
3 = Country has occasional border skirmishes with its neighbors.
2 = Country is constantly under threat, either internal civil war or by external factors.
1 = Country is recovering from a being conquered or numerous civil wars.
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2" authorId="0" shapeId="0" xr:uid="{A0A972C6-0429-4453-8DB3-376F14C98F15}">
      <text>
        <r>
          <rPr>
            <b/>
            <sz val="9"/>
            <color indexed="81"/>
            <rFont val="Tahoma"/>
            <family val="2"/>
          </rPr>
          <t>5 = The country is a breadbasket. Excellent soil and two harvests per year.
4 = The country has good soil and natural hunting grounds.
3 = The country has average soil and a moderate amunt of hunting grounds.
2 = The country is difficult to grow food in.
1 = The country is real hard to farm and the livestock is difficult to feed.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" authorId="0" shapeId="0" xr:uid="{EB325F9A-EF39-4591-8B0D-3C6DFE0CF9C1}">
      <text>
        <r>
          <rPr>
            <b/>
            <sz val="9"/>
            <color indexed="81"/>
            <rFont val="Tahoma"/>
            <family val="2"/>
          </rPr>
          <t>5 = The climate is ideal for living. Paradise on Oerth as it were.
4 = The climate is above average and the country has few dangerous predators.
3 = The climate is average and the country has a normal amoutn of predators.
2 = The climate is difficult and the country has quite a few dangerous predators.
1 = The climate is harsh and it is dangerous to live here.</t>
        </r>
      </text>
    </comment>
    <comment ref="F12" authorId="0" shapeId="0" xr:uid="{7BBF3FD5-E3D8-4750-9CA6-8365EE1AD0A8}">
      <text>
        <r>
          <rPr>
            <b/>
            <sz val="9"/>
            <color indexed="81"/>
            <rFont val="Tahoma"/>
            <family val="2"/>
          </rPr>
          <t>A special factor to take into account non standard countries.
Default is 1 (i.e. no effect)</t>
        </r>
      </text>
    </comment>
    <comment ref="G12" authorId="0" shapeId="0" xr:uid="{70228A70-B803-4D0F-A7A6-70DE0BDFAF24}">
      <text>
        <r>
          <rPr>
            <sz val="9"/>
            <color indexed="81"/>
            <rFont val="Tahoma"/>
            <family val="2"/>
          </rPr>
          <t>1% for a devastated country
2% for a really harsh country in a very harsh environment.
3% for nomads in a harsh environment.
4% for frontier countries in a harsh environment.
5% for frontier countries in a reasonable environment.
8% for young countries in a reasonable environment.
10% for an old country in a difficult environment.
15% for average country in a reasonable environment.
20% for old and secure countries in a reasonable environment.
30%+ for old city states.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H12" authorId="0" shapeId="0" xr:uid="{C4EEAE45-AD0E-4122-BFA8-2CC3652DDA0A}">
      <text>
        <r>
          <rPr>
            <sz val="9"/>
            <color indexed="81"/>
            <rFont val="Tahoma"/>
            <family val="2"/>
          </rPr>
          <t>Note that medieval Europe as a whole had a population density of 8 people per square km.
France had a population density of 20 people per square km.</t>
        </r>
      </text>
    </comment>
    <comment ref="J12" authorId="0" shapeId="0" xr:uid="{F9CE67E2-BC70-4926-99F4-4D5CAFABFCF4}">
      <text>
        <r>
          <rPr>
            <b/>
            <sz val="9"/>
            <color indexed="81"/>
            <rFont val="Tahoma"/>
            <family val="2"/>
          </rPr>
          <t>250 acres per square km.</t>
        </r>
      </text>
    </comment>
    <comment ref="F14" authorId="0" shapeId="0" xr:uid="{8A2ABBC4-5170-4DCD-A555-58C1E6A92F3B}">
      <text>
        <r>
          <rPr>
            <b/>
            <sz val="9"/>
            <color indexed="81"/>
            <rFont val="Tahoma"/>
            <family val="2"/>
          </rPr>
          <t>Recovering from a genocidal invasion</t>
        </r>
      </text>
    </comment>
    <comment ref="F20" authorId="0" shapeId="0" xr:uid="{FB4DD2FD-A61A-4F57-8727-3DCC739132E2}">
      <text>
        <r>
          <rPr>
            <b/>
            <sz val="9"/>
            <color indexed="81"/>
            <rFont val="Tahoma"/>
            <family val="2"/>
          </rPr>
          <t>Predominantly an elven domain which brings down the population density.</t>
        </r>
      </text>
    </comment>
    <comment ref="F22" authorId="0" shapeId="0" xr:uid="{CE5DEAA5-DA4E-401B-852F-2EC16D4A0943}">
      <text>
        <r>
          <rPr>
            <b/>
            <sz val="9"/>
            <color indexed="81"/>
            <rFont val="Tahoma"/>
            <family val="2"/>
          </rPr>
          <t>Large city surrounded by farmlands.</t>
        </r>
      </text>
    </comment>
    <comment ref="F34" authorId="0" shapeId="0" xr:uid="{A8A7C5F0-734D-44EB-98FB-8BBFEB6DAED7}">
      <text>
        <r>
          <rPr>
            <b/>
            <sz val="9"/>
            <color indexed="81"/>
            <rFont val="Tahoma"/>
            <family val="2"/>
          </rPr>
          <t>A large metropolis city surrounded by a dense farmland brings up the population density.</t>
        </r>
      </text>
    </comment>
    <comment ref="F52" authorId="0" shapeId="0" xr:uid="{1743FBB4-CACA-409C-818D-C330FE84E6F6}">
      <text>
        <r>
          <rPr>
            <b/>
            <sz val="9"/>
            <color indexed="81"/>
            <rFont val="Tahoma"/>
            <family val="2"/>
          </rPr>
          <t>Recovering from a genocidal invasion</t>
        </r>
      </text>
    </comment>
    <comment ref="F53" authorId="0" shapeId="0" xr:uid="{ABA6200F-41D8-4B49-B474-51A94FAFED05}">
      <text>
        <r>
          <rPr>
            <b/>
            <sz val="9"/>
            <color indexed="81"/>
            <rFont val="Tahoma"/>
            <family val="2"/>
          </rPr>
          <t>Recovering from a genocidal invasion.</t>
        </r>
      </text>
    </comment>
    <comment ref="F55" authorId="0" shapeId="0" xr:uid="{E12ACA61-7C0A-411D-B836-DEF47EA293D3}">
      <text>
        <r>
          <rPr>
            <b/>
            <sz val="9"/>
            <color indexed="81"/>
            <rFont val="Tahoma"/>
            <family val="2"/>
          </rPr>
          <t>Recovering from a giant invasion.</t>
        </r>
      </text>
    </comment>
    <comment ref="F60" authorId="0" shapeId="0" xr:uid="{9BA9EF2E-1081-4666-B4B9-D8DCA0DC8E4F}">
      <text>
        <r>
          <rPr>
            <b/>
            <sz val="9"/>
            <color indexed="81"/>
            <rFont val="Tahoma"/>
            <family val="2"/>
          </rPr>
          <t>Insular country with controlled slave population.</t>
        </r>
      </text>
    </comment>
    <comment ref="F63" authorId="0" shapeId="0" xr:uid="{4BED4841-C4CD-4AFE-B1C4-94EB28D49306}">
      <text>
        <r>
          <rPr>
            <b/>
            <sz val="9"/>
            <color indexed="81"/>
            <rFont val="Tahoma"/>
            <family val="2"/>
          </rPr>
          <t>Many elves in the country which brings down the population.</t>
        </r>
      </text>
    </comment>
    <comment ref="F68" authorId="0" shapeId="0" xr:uid="{5FEFEED3-B8CB-4697-9651-0B6113103D43}">
      <text>
        <r>
          <rPr>
            <b/>
            <sz val="9"/>
            <color indexed="81"/>
            <rFont val="Tahoma"/>
            <family val="2"/>
          </rPr>
          <t>Extermely strict population controls.</t>
        </r>
      </text>
    </comment>
    <comment ref="F70" authorId="0" shapeId="0" xr:uid="{BDAF3E0D-24B7-452D-864C-5B10D2E43CCC}">
      <text>
        <r>
          <rPr>
            <b/>
            <sz val="9"/>
            <color indexed="81"/>
            <rFont val="Tahoma"/>
            <family val="2"/>
          </rPr>
          <t>Large city surrounded by farmlands.</t>
        </r>
      </text>
    </comment>
    <comment ref="B76" authorId="0" shapeId="0" xr:uid="{47FD935B-DA28-4F9D-A4D6-B1E231F68634}">
      <text>
        <r>
          <rPr>
            <b/>
            <sz val="9"/>
            <color indexed="81"/>
            <rFont val="Tahoma"/>
            <charset val="1"/>
          </rPr>
          <t>The Area here does not include areas such as mountains, large lakes, forest, etc.
See the Worksheet called "Area" for what is included and excluded from each country area.</t>
        </r>
      </text>
    </comment>
    <comment ref="C76" authorId="0" shapeId="0" xr:uid="{02478D07-8DA9-4E03-9BE2-2F4D7692B91F}">
      <text>
        <r>
          <rPr>
            <b/>
            <sz val="9"/>
            <color indexed="81"/>
            <rFont val="Tahoma"/>
            <charset val="1"/>
          </rPr>
          <t xml:space="preserve">5 = Country has been stable for several centuries.
4 = Country has been stable for a few decades.
3 = Country has occasional border skirmishes with its neighbors.
2 = Country is constantly under threat, either internal civil war or by external factors.
1 = Country is recovering from a being conquered or numerous civil wars.
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76" authorId="0" shapeId="0" xr:uid="{1F19E476-E5BF-47DD-9016-A96AB99A3EA9}">
      <text>
        <r>
          <rPr>
            <b/>
            <sz val="9"/>
            <color indexed="81"/>
            <rFont val="Tahoma"/>
            <family val="2"/>
          </rPr>
          <t>5 = The country is a breadbasket. Excellent soil and two harvests per year.
4 = The country has good soil and natural hunting grounds.
3 = The country has average soil and a moderate amunt of hunting grounds.
2 = The country is difficult to grow food in.
1 = The country is real hard to farm and the livestock is difficult to feed.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6" authorId="0" shapeId="0" xr:uid="{A3967440-062B-42A3-A3F3-F3E89E077077}">
      <text>
        <r>
          <rPr>
            <b/>
            <sz val="9"/>
            <color indexed="81"/>
            <rFont val="Tahoma"/>
            <family val="2"/>
          </rPr>
          <t>5 = The climate is ideal for living. Paradise on Oerth as it were.
4 = The climate is above average and the country has few dangerous predators.
3 = The climate is average and the country has a normal amoutn of predators.
2 = The climate is difficult and the country has quite a few dangerous predators.
1 = The climate is harsh and it is dangerous to live here.</t>
        </r>
      </text>
    </comment>
    <comment ref="F76" authorId="0" shapeId="0" xr:uid="{BACB53FF-C92B-46AB-AE46-E07CAD183D57}">
      <text>
        <r>
          <rPr>
            <b/>
            <sz val="9"/>
            <color indexed="81"/>
            <rFont val="Tahoma"/>
            <family val="2"/>
          </rPr>
          <t>A special factor to take into account non standard countries.
Default is 1 (i.e. no effect)</t>
        </r>
      </text>
    </comment>
    <comment ref="H76" authorId="0" shapeId="0" xr:uid="{0089536D-5682-4760-96FB-46E14E2DC626}">
      <text>
        <r>
          <rPr>
            <sz val="9"/>
            <color indexed="81"/>
            <rFont val="Tahoma"/>
            <family val="2"/>
          </rPr>
          <t>Note that medieval Europe as a whole had a population density of 8 people per square km.
France had a population density of 20 people per square km.</t>
        </r>
      </text>
    </comment>
    <comment ref="J76" authorId="0" shapeId="0" xr:uid="{A72033A7-274D-4034-910B-3E9A31404573}">
      <text>
        <r>
          <rPr>
            <b/>
            <sz val="9"/>
            <color indexed="81"/>
            <rFont val="Tahoma"/>
            <family val="2"/>
          </rPr>
          <t>250 acres per square km.</t>
        </r>
      </text>
    </comment>
  </commentList>
</comments>
</file>

<file path=xl/sharedStrings.xml><?xml version="1.0" encoding="utf-8"?>
<sst xmlns="http://schemas.openxmlformats.org/spreadsheetml/2006/main" count="937" uniqueCount="392">
  <si>
    <t>Total</t>
  </si>
  <si>
    <t>Sub-Total</t>
  </si>
  <si>
    <t>Percentage</t>
  </si>
  <si>
    <t>Numbers from LGG.</t>
  </si>
  <si>
    <t>Percentages</t>
  </si>
  <si>
    <t>Dwarf</t>
  </si>
  <si>
    <t>Elf</t>
  </si>
  <si>
    <t>Country</t>
  </si>
  <si>
    <t>Total pop</t>
  </si>
  <si>
    <t>Suel</t>
  </si>
  <si>
    <t>Oeridian</t>
  </si>
  <si>
    <t>Bakluni</t>
  </si>
  <si>
    <t>Flan</t>
  </si>
  <si>
    <t>Other</t>
  </si>
  <si>
    <t>Human Tot</t>
  </si>
  <si>
    <t>Human</t>
  </si>
  <si>
    <t>Mountain</t>
  </si>
  <si>
    <t>Hill</t>
  </si>
  <si>
    <t>Unspec elf</t>
  </si>
  <si>
    <t>Valley</t>
  </si>
  <si>
    <t>High</t>
  </si>
  <si>
    <t>Grey</t>
  </si>
  <si>
    <t>Sylvan</t>
  </si>
  <si>
    <t>Gnome</t>
  </si>
  <si>
    <t>Halfling</t>
  </si>
  <si>
    <t>Half-elf</t>
  </si>
  <si>
    <t>Half-orc</t>
  </si>
  <si>
    <t>Orc</t>
  </si>
  <si>
    <t>Goblinoids</t>
  </si>
  <si>
    <t>Ahlissa</t>
  </si>
  <si>
    <t>Bandit kingdoms</t>
  </si>
  <si>
    <t>Bissel</t>
  </si>
  <si>
    <t>Blackmoor</t>
  </si>
  <si>
    <t>Bone march</t>
  </si>
  <si>
    <t>Bright lands</t>
  </si>
  <si>
    <t>Celene</t>
  </si>
  <si>
    <t>Dyvers</t>
  </si>
  <si>
    <t>Ekbir</t>
  </si>
  <si>
    <t>Frost barbarians</t>
  </si>
  <si>
    <t>Furyondy</t>
  </si>
  <si>
    <t>Geoff</t>
  </si>
  <si>
    <t>Gran March</t>
  </si>
  <si>
    <t>Greyhawk domain</t>
  </si>
  <si>
    <t>Highfolk</t>
  </si>
  <si>
    <t>Ice barbarians</t>
  </si>
  <si>
    <t>Irongate</t>
  </si>
  <si>
    <t>Iuz, empire of</t>
  </si>
  <si>
    <t>Keoland</t>
  </si>
  <si>
    <t>Ket</t>
  </si>
  <si>
    <t>Lendore isles</t>
  </si>
  <si>
    <t>Lordship of the isles</t>
  </si>
  <si>
    <t>North kingdom</t>
  </si>
  <si>
    <t>Nyrond</t>
  </si>
  <si>
    <t>Onnwal</t>
  </si>
  <si>
    <t>Pale</t>
  </si>
  <si>
    <t>Paynims</t>
  </si>
  <si>
    <t>Perrenland</t>
  </si>
  <si>
    <t>Pomarj, empire of</t>
  </si>
  <si>
    <t>Ratik</t>
  </si>
  <si>
    <t>Rel Astra &amp; Solnor compact</t>
  </si>
  <si>
    <t>Rovers of the barren</t>
  </si>
  <si>
    <t>Scarlet brotherhood</t>
  </si>
  <si>
    <t>Sea barons</t>
  </si>
  <si>
    <t>Sea princes</t>
  </si>
  <si>
    <t>Shield lands</t>
  </si>
  <si>
    <t>Snow barbarians</t>
  </si>
  <si>
    <t>Sterich</t>
  </si>
  <si>
    <t>Stonehold</t>
  </si>
  <si>
    <t>Sunndi</t>
  </si>
  <si>
    <t>Tenh</t>
  </si>
  <si>
    <t>Tiger nomads</t>
  </si>
  <si>
    <t>Tusmit</t>
  </si>
  <si>
    <t>Ulek county</t>
  </si>
  <si>
    <t>Ulek duchy</t>
  </si>
  <si>
    <t>Ulek principality</t>
  </si>
  <si>
    <t>Ull</t>
  </si>
  <si>
    <t>Urnst county</t>
  </si>
  <si>
    <t>Urnst duchy</t>
  </si>
  <si>
    <t>Valley of the mage</t>
  </si>
  <si>
    <t>Veluna</t>
  </si>
  <si>
    <t>Verbobonc</t>
  </si>
  <si>
    <t>Wolf nomads</t>
  </si>
  <si>
    <t>Yeomanry</t>
  </si>
  <si>
    <t>Zeif</t>
  </si>
  <si>
    <t>Guess</t>
  </si>
  <si>
    <t>Gnarley forest</t>
  </si>
  <si>
    <t>Vesve</t>
  </si>
  <si>
    <t>Miscellaneous forests (humans &amp; demi)</t>
  </si>
  <si>
    <t>Banner hills</t>
  </si>
  <si>
    <t>Cairn hills</t>
  </si>
  <si>
    <t>Flinty hills</t>
  </si>
  <si>
    <t>Good hills</t>
  </si>
  <si>
    <t>Headlands</t>
  </si>
  <si>
    <t>Hestmark highlands</t>
  </si>
  <si>
    <t>Hollow highlands</t>
  </si>
  <si>
    <t>Iron hills</t>
  </si>
  <si>
    <t>Kron hills</t>
  </si>
  <si>
    <t>Lorridges</t>
  </si>
  <si>
    <t>Miscellaneous hills (humans &amp; demi)</t>
  </si>
  <si>
    <t>Barrier peaks</t>
  </si>
  <si>
    <t>Clatspur range</t>
  </si>
  <si>
    <t>Crystalmist mountains</t>
  </si>
  <si>
    <t>Glorioles</t>
  </si>
  <si>
    <t>Griff mountains</t>
  </si>
  <si>
    <t>Hellfurnaces</t>
  </si>
  <si>
    <t>Jotens</t>
  </si>
  <si>
    <t>Lortmils</t>
  </si>
  <si>
    <t>Rakers</t>
  </si>
  <si>
    <t>Sulhaut mountains</t>
  </si>
  <si>
    <t>Yatil</t>
  </si>
  <si>
    <t>Miscellaneous mountains (humans &amp; demi)</t>
  </si>
  <si>
    <t>HUMANS</t>
  </si>
  <si>
    <t>DWARVES</t>
  </si>
  <si>
    <t>ELVES</t>
  </si>
  <si>
    <t>GNOMES</t>
  </si>
  <si>
    <t>Halflings</t>
  </si>
  <si>
    <t>Orcs</t>
  </si>
  <si>
    <t>Dreadwood</t>
  </si>
  <si>
    <t>Gambodge</t>
  </si>
  <si>
    <t>by Richard "Longetalos" Di Ioia</t>
  </si>
  <si>
    <t>Math distance</t>
  </si>
  <si>
    <t>cm on tool</t>
  </si>
  <si>
    <t>Darlene (km)</t>
  </si>
  <si>
    <t>miles</t>
  </si>
  <si>
    <t>Ratio (km/cm)</t>
  </si>
  <si>
    <t>Factor from cm2 to km2</t>
  </si>
  <si>
    <t>Greyhawk to Hardby</t>
  </si>
  <si>
    <t>Total area of the Flanaess</t>
  </si>
  <si>
    <t>km2</t>
  </si>
  <si>
    <t>Chendl to Willip</t>
  </si>
  <si>
    <t>sq. miles</t>
  </si>
  <si>
    <t>Gradsul to Highport</t>
  </si>
  <si>
    <t>Average ratio</t>
  </si>
  <si>
    <t>Countries</t>
  </si>
  <si>
    <t>Size (CM2)</t>
  </si>
  <si>
    <t>Area (km2)</t>
  </si>
  <si>
    <t>Area (sq.miles)</t>
  </si>
  <si>
    <t>Woodlands</t>
  </si>
  <si>
    <t>Swamps</t>
  </si>
  <si>
    <t>Mountains and hills</t>
  </si>
  <si>
    <t>Wastelands</t>
  </si>
  <si>
    <t>Lakes</t>
  </si>
  <si>
    <t>Ahlissa (less Almor, Idee, Medegia)</t>
  </si>
  <si>
    <t>Adri forest</t>
  </si>
  <si>
    <t>Cold marshes</t>
  </si>
  <si>
    <t>Abbor-alz</t>
  </si>
  <si>
    <t>Barren wastes</t>
  </si>
  <si>
    <t>Lake Quag</t>
  </si>
  <si>
    <t>Almor</t>
  </si>
  <si>
    <t>Amedio jungle</t>
  </si>
  <si>
    <t>Gnatmarsh</t>
  </si>
  <si>
    <t>Dry Steppes</t>
  </si>
  <si>
    <t>Nyr Dyv</t>
  </si>
  <si>
    <t>Axewood</t>
  </si>
  <si>
    <t>Hool marshes</t>
  </si>
  <si>
    <t>Belmu hills</t>
  </si>
  <si>
    <t>Land of Black ice</t>
  </si>
  <si>
    <t>Whyestil lake</t>
  </si>
  <si>
    <t>Bramblewood forest</t>
  </si>
  <si>
    <t>Lone heath</t>
  </si>
  <si>
    <t>Bluff hills</t>
  </si>
  <si>
    <t>Rift canyon</t>
  </si>
  <si>
    <t>Burneal forest</t>
  </si>
  <si>
    <t>Mistmarsh</t>
  </si>
  <si>
    <t>Sea of Dust</t>
  </si>
  <si>
    <t>Celadon forest</t>
  </si>
  <si>
    <t>Rushmoor</t>
  </si>
  <si>
    <t>Bright desert</t>
  </si>
  <si>
    <t>Dim Forest</t>
  </si>
  <si>
    <t>Troll fens</t>
  </si>
  <si>
    <t>Corusk mountains</t>
  </si>
  <si>
    <t>Vast swamp</t>
  </si>
  <si>
    <t>Dullstrand, lands of</t>
  </si>
  <si>
    <t>Fellreev forest</t>
  </si>
  <si>
    <t>Dyvers, lands of</t>
  </si>
  <si>
    <t>Forlorn forest</t>
  </si>
  <si>
    <t>Gambodge forest</t>
  </si>
  <si>
    <t>Grandwood forest</t>
  </si>
  <si>
    <t>Gull cliffs</t>
  </si>
  <si>
    <t>Hornwood</t>
  </si>
  <si>
    <t>Hraak forest</t>
  </si>
  <si>
    <t>Greyhawk, lands of</t>
  </si>
  <si>
    <t>Loftwood forest</t>
  </si>
  <si>
    <t>Hardby, lands of</t>
  </si>
  <si>
    <t>Menowood</t>
  </si>
  <si>
    <t>Howling hills</t>
  </si>
  <si>
    <t>Horned Society</t>
  </si>
  <si>
    <t>Nutherwood</t>
  </si>
  <si>
    <t>Highfolk vale</t>
  </si>
  <si>
    <t>Oytwood</t>
  </si>
  <si>
    <t>Phostwood</t>
  </si>
  <si>
    <t>Idee</t>
  </si>
  <si>
    <t>Rieuwood</t>
  </si>
  <si>
    <t>Little hills</t>
  </si>
  <si>
    <t>Sable wood</t>
  </si>
  <si>
    <t>Iuz, Homeland of</t>
  </si>
  <si>
    <t>Silver wood</t>
  </si>
  <si>
    <t>Spikey forest</t>
  </si>
  <si>
    <t>Mounds of Dawn</t>
  </si>
  <si>
    <t>Suss forest</t>
  </si>
  <si>
    <t>Tangles forest</t>
  </si>
  <si>
    <t>Sepia uplands</t>
  </si>
  <si>
    <t>Timberway forest</t>
  </si>
  <si>
    <t>Spine ridge</t>
  </si>
  <si>
    <t>Udgru forest</t>
  </si>
  <si>
    <t>Stark mounds</t>
  </si>
  <si>
    <t>Nyrond (less Almor)</t>
  </si>
  <si>
    <t>Welkwood</t>
  </si>
  <si>
    <t>Sulhauts mountains</t>
  </si>
  <si>
    <t>Vesve forest</t>
  </si>
  <si>
    <t>The Headlands</t>
  </si>
  <si>
    <t>The Tors</t>
  </si>
  <si>
    <t>All areas are based off this map.</t>
  </si>
  <si>
    <t>Tusman hills</t>
  </si>
  <si>
    <t>Ulsprue</t>
  </si>
  <si>
    <t>Pomarj (less the Wild Coast)</t>
  </si>
  <si>
    <t>Yatil mountains</t>
  </si>
  <si>
    <t>Yecha hills</t>
  </si>
  <si>
    <t>See of Medegia</t>
  </si>
  <si>
    <t>Tilvanot peninsula</t>
  </si>
  <si>
    <t>Hepmonaland area is based off the map from the Scarlet Brotherhood book -- excludes the Isle of Singing Stones.</t>
  </si>
  <si>
    <t>Amedio area is based off the map from the Scarlet Brotherhood book -- excludes the islands</t>
  </si>
  <si>
    <t>Hepmonaland</t>
  </si>
  <si>
    <t>Amedio</t>
  </si>
  <si>
    <t>Verbobonc, lands of</t>
  </si>
  <si>
    <t>Wild coast</t>
  </si>
  <si>
    <t>LGG population</t>
  </si>
  <si>
    <t>Density (pop / km2)</t>
  </si>
  <si>
    <t>Density (pop / square mile)</t>
  </si>
  <si>
    <t>by Richard Di Ioia</t>
  </si>
  <si>
    <t>For DMs that wish to adjust the LGG populations here is an excel sheet to help you.</t>
  </si>
  <si>
    <t>This sheet provides two frameworks for finding a population figure of a country:</t>
  </si>
  <si>
    <t>---   Method #1)  Suggest an overall population density of a country based on a few factors and then multiplying that factor by the area (square km) of the country.</t>
  </si>
  <si>
    <t>---   Method #2)  The DM decides the percentage area of the country they want to be "tamed". From there a factor is applied on how many acres an average person needs of food, and the population figure is then calculated.</t>
  </si>
  <si>
    <t>Enter values in the cells with a Blue value.</t>
  </si>
  <si>
    <t>Method #1</t>
  </si>
  <si>
    <t>Method #2</t>
  </si>
  <si>
    <t>Results</t>
  </si>
  <si>
    <t>Comparison</t>
  </si>
  <si>
    <t>Acres per person =</t>
  </si>
  <si>
    <t>Stability</t>
  </si>
  <si>
    <t>Fertility</t>
  </si>
  <si>
    <t>Environment</t>
  </si>
  <si>
    <t>Special</t>
  </si>
  <si>
    <t>Tamed area (%)</t>
  </si>
  <si>
    <t>Suggested density (pop / km2)</t>
  </si>
  <si>
    <t>Suggested population</t>
  </si>
  <si>
    <t>Population</t>
  </si>
  <si>
    <t>% change</t>
  </si>
  <si>
    <t>French LGG</t>
  </si>
  <si>
    <t>Average of Method #1 and Method #2</t>
  </si>
  <si>
    <t>% change from LGG</t>
  </si>
  <si>
    <t>Gary Holian values</t>
  </si>
  <si>
    <t>% change from Average of M1 &amp; M2</t>
  </si>
  <si>
    <t>New countries</t>
  </si>
  <si>
    <t>Western Olman island</t>
  </si>
  <si>
    <t>Stability factor: how secure does the population feel to have and raise children</t>
  </si>
  <si>
    <t>5 = Country has been stable for several centuries.</t>
  </si>
  <si>
    <t>4 = Country has been stable for a few decades.</t>
  </si>
  <si>
    <t>3 = Country has occasional border skirmishes with its neighbors.</t>
  </si>
  <si>
    <t>2 = Country is constantly under threat, either internal civil war or by external factors.</t>
  </si>
  <si>
    <t>1 = Country is recovering from a being conquered or numerous civil wars.</t>
  </si>
  <si>
    <t>Fertility factor: how easy is it to get food to feed the population</t>
  </si>
  <si>
    <t>5 = The country is a breadbasket. Excellent soil and two harvests per year.</t>
  </si>
  <si>
    <t>4 = The country has good soil and natural hunting grounds.</t>
  </si>
  <si>
    <t>3 = The country has average soil and a moderate amunt of hunting grounds.</t>
  </si>
  <si>
    <t>2 = The country is difficult to grow food in.</t>
  </si>
  <si>
    <t>1 = The country is real hard to farm and the livestock is difficult to feed.</t>
  </si>
  <si>
    <t>Mediterean/subtropical (5) then continental/temperate/oceanic (4) then tropical (3) then steppes/subartic (2) then arctic/deserts (1)</t>
  </si>
  <si>
    <t>Environment factor: how harsh is the climate, how many monsters, etc.</t>
  </si>
  <si>
    <t>5 = The climate is ideal for living. Paradise on Oerth as it were.</t>
  </si>
  <si>
    <t>4 = The climate is above average and the country has few dangerous predators.</t>
  </si>
  <si>
    <t>3 = The climate is average and the country has a normal amoutn of predators.</t>
  </si>
  <si>
    <t>2 = The climate is difficult and the country has quite a few dangerous predators.</t>
  </si>
  <si>
    <t>1 = The climate is harsh and it is dangerous to live here.</t>
  </si>
  <si>
    <t>From 1e DMG</t>
  </si>
  <si>
    <t>200 years</t>
  </si>
  <si>
    <t>400 years</t>
  </si>
  <si>
    <t>Children</t>
  </si>
  <si>
    <t>Young Adult</t>
  </si>
  <si>
    <t>Mature</t>
  </si>
  <si>
    <t>Middle-age</t>
  </si>
  <si>
    <t xml:space="preserve">Old </t>
  </si>
  <si>
    <t>Venerable</t>
  </si>
  <si>
    <t>Breeding age range</t>
  </si>
  <si>
    <t># of children</t>
  </si>
  <si>
    <t># of surviving children</t>
  </si>
  <si>
    <t>Middle-Age</t>
  </si>
  <si>
    <t>Able-bodied</t>
  </si>
  <si>
    <t>1 to 34</t>
  </si>
  <si>
    <t>35 to 50</t>
  </si>
  <si>
    <t>51 to 150</t>
  </si>
  <si>
    <t>Elves</t>
  </si>
  <si>
    <t>1 to 21</t>
  </si>
  <si>
    <t>22 to 33</t>
  </si>
  <si>
    <t>34 to 68</t>
  </si>
  <si>
    <t>1 to 13</t>
  </si>
  <si>
    <t>14 to 20</t>
  </si>
  <si>
    <t>21 to 40</t>
  </si>
  <si>
    <t>From Dragon #141.</t>
  </si>
  <si>
    <t>9 to 15</t>
  </si>
  <si>
    <t>Generation</t>
  </si>
  <si>
    <t>Year 200 children =</t>
  </si>
  <si>
    <t>Year 200 young =</t>
  </si>
  <si>
    <t>Year 200 mature =</t>
  </si>
  <si>
    <t>Year 200 middle age =</t>
  </si>
  <si>
    <t>Year 200 old =</t>
  </si>
  <si>
    <t>Year 200 venerable =</t>
  </si>
  <si>
    <t>Year 200 total =</t>
  </si>
  <si>
    <t>Year 400 children =</t>
  </si>
  <si>
    <t>Year 400 young =</t>
  </si>
  <si>
    <t>Year 400 mature =</t>
  </si>
  <si>
    <t>Year 400 middle age =</t>
  </si>
  <si>
    <t>Year 400 old =</t>
  </si>
  <si>
    <t>Year 400 venerable =</t>
  </si>
  <si>
    <t>Year 400 total =</t>
  </si>
  <si>
    <t>Year 1200 children =</t>
  </si>
  <si>
    <t>Year 1200 young =</t>
  </si>
  <si>
    <t>Year 1200 mature =</t>
  </si>
  <si>
    <t>Year 1200 middle age =</t>
  </si>
  <si>
    <t>Year 1200 old =</t>
  </si>
  <si>
    <t>Year 1200 venerable =</t>
  </si>
  <si>
    <t>Year 1200 total =</t>
  </si>
  <si>
    <t>176 to 550</t>
  </si>
  <si>
    <t>1 to 49</t>
  </si>
  <si>
    <t>1 to 99</t>
  </si>
  <si>
    <t>100 to 175</t>
  </si>
  <si>
    <t>50 to 90</t>
  </si>
  <si>
    <t>91 to 300</t>
  </si>
  <si>
    <t>Total born</t>
  </si>
  <si>
    <t>Children reaching breeding age</t>
  </si>
  <si>
    <t>Born Year --&gt;</t>
  </si>
  <si>
    <t>41 to 60</t>
  </si>
  <si>
    <t>61 to 90</t>
  </si>
  <si>
    <t>91 to 120</t>
  </si>
  <si>
    <t>Death Factor</t>
  </si>
  <si>
    <t>151 to 250</t>
  </si>
  <si>
    <t>251 to 350</t>
  </si>
  <si>
    <t>351 to 450</t>
  </si>
  <si>
    <t>551 to 875</t>
  </si>
  <si>
    <t>876 to 1200</t>
  </si>
  <si>
    <t>1200 to 1600</t>
  </si>
  <si>
    <t>Year 3800 children =</t>
  </si>
  <si>
    <t>Year 3800 young =</t>
  </si>
  <si>
    <t>Year 3800 mature =</t>
  </si>
  <si>
    <t>Year 3800 middle age =</t>
  </si>
  <si>
    <t>Year 3800 old =</t>
  </si>
  <si>
    <t>Year 3800 venerable =</t>
  </si>
  <si>
    <t>Year 3800 total =</t>
  </si>
  <si>
    <t>Generations</t>
  </si>
  <si>
    <t>Year</t>
  </si>
  <si>
    <t>301 to 450</t>
  </si>
  <si>
    <t>451 to 600</t>
  </si>
  <si>
    <t>601 to 750</t>
  </si>
  <si>
    <t>69 to 101</t>
  </si>
  <si>
    <t>102 to 144</t>
  </si>
  <si>
    <t>145 to 199</t>
  </si>
  <si>
    <t xml:space="preserve"> </t>
  </si>
  <si>
    <t xml:space="preserve">   </t>
  </si>
  <si>
    <t>1 to 7</t>
  </si>
  <si>
    <t>8 to 10</t>
  </si>
  <si>
    <t>11 to 20</t>
  </si>
  <si>
    <t>21 to 30</t>
  </si>
  <si>
    <t>31 to 40</t>
  </si>
  <si>
    <t>41 to 55</t>
  </si>
  <si>
    <t>Year 600 children =</t>
  </si>
  <si>
    <t>Year 600 young =</t>
  </si>
  <si>
    <t>Year 600 mature =</t>
  </si>
  <si>
    <t>Year 600 middle age =</t>
  </si>
  <si>
    <t>Year 600 old =</t>
  </si>
  <si>
    <t>Year 600 venerable =</t>
  </si>
  <si>
    <t>Year 600 total =</t>
  </si>
  <si>
    <t>1200 years</t>
  </si>
  <si>
    <t>Average</t>
  </si>
  <si>
    <t>By age straight line</t>
  </si>
  <si>
    <t>Old</t>
  </si>
  <si>
    <t>Year 6000 children =</t>
  </si>
  <si>
    <t>Year 6000 young =</t>
  </si>
  <si>
    <t>Year 6000 mature =</t>
  </si>
  <si>
    <t>Year 6000 middle age =</t>
  </si>
  <si>
    <t>Year 6000 old =</t>
  </si>
  <si>
    <t>Year 6000 venerable =</t>
  </si>
  <si>
    <t>Year 6000 total =</t>
  </si>
  <si>
    <t>Young adults (early)</t>
  </si>
  <si>
    <t>Young adults (late)</t>
  </si>
  <si>
    <t>42 to 100</t>
  </si>
  <si>
    <t>137 to 363</t>
  </si>
  <si>
    <t>70 to 196</t>
  </si>
  <si>
    <t>27 to 51</t>
  </si>
  <si>
    <t>17 to 31</t>
  </si>
  <si>
    <t>Female to Male ratio</t>
  </si>
  <si>
    <t>(600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</si>
</sst>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#,##0.0"/>
  </numFmts>
  <fonts count="30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color rgb="FFFF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4"/>
      <color rgb="FF0070C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7030A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Arial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sz val="10"/>
      <color rgb="FF0070C0"/>
      <name val="Arial"/>
      <family val="2"/>
    </font>
    <font>
      <b/>
      <sz val="12"/>
      <color rgb="FF0070C0"/>
      <name val="Arial"/>
      <family val="2"/>
    </font>
    <font>
      <sz val="8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121">
    <xf numFmtId="0" fontId="0" fillId="0" borderId="0" xfId="0"/>
    <xf numFmtId="0" fontId="3" fillId="0" borderId="0" xfId="1"/>
    <xf numFmtId="0" fontId="4" fillId="0" borderId="0" xfId="1" applyFont="1"/>
    <xf numFmtId="0" fontId="5" fillId="0" borderId="0" xfId="1" applyFont="1"/>
    <xf numFmtId="3" fontId="3" fillId="0" borderId="0" xfId="1" applyNumberFormat="1"/>
    <xf numFmtId="164" fontId="3" fillId="0" borderId="0" xfId="1" applyNumberFormat="1"/>
    <xf numFmtId="9" fontId="3" fillId="0" borderId="0" xfId="1" applyNumberFormat="1"/>
    <xf numFmtId="0" fontId="7" fillId="0" borderId="0" xfId="1" applyFont="1" applyAlignment="1">
      <alignment horizontal="center"/>
    </xf>
    <xf numFmtId="0" fontId="7" fillId="0" borderId="0" xfId="1" applyFont="1"/>
    <xf numFmtId="1" fontId="3" fillId="0" borderId="0" xfId="1" applyNumberFormat="1"/>
    <xf numFmtId="164" fontId="4" fillId="0" borderId="0" xfId="1" applyNumberFormat="1" applyFont="1"/>
    <xf numFmtId="0" fontId="8" fillId="0" borderId="0" xfId="1" applyFont="1"/>
    <xf numFmtId="3" fontId="3" fillId="2" borderId="0" xfId="1" applyNumberFormat="1" applyFill="1"/>
    <xf numFmtId="0" fontId="13" fillId="0" borderId="0" xfId="3" applyFont="1"/>
    <xf numFmtId="0" fontId="2" fillId="0" borderId="0" xfId="3"/>
    <xf numFmtId="0" fontId="14" fillId="0" borderId="0" xfId="3" applyFont="1"/>
    <xf numFmtId="0" fontId="10" fillId="0" borderId="0" xfId="3" applyFont="1"/>
    <xf numFmtId="0" fontId="10" fillId="0" borderId="0" xfId="3" applyFont="1" applyAlignment="1">
      <alignment horizontal="center"/>
    </xf>
    <xf numFmtId="0" fontId="2" fillId="0" borderId="0" xfId="3" applyAlignment="1">
      <alignment horizontal="center"/>
    </xf>
    <xf numFmtId="165" fontId="12" fillId="0" borderId="0" xfId="3" applyNumberFormat="1" applyFont="1" applyAlignment="1">
      <alignment horizontal="center"/>
    </xf>
    <xf numFmtId="3" fontId="2" fillId="0" borderId="0" xfId="3" applyNumberFormat="1"/>
    <xf numFmtId="3" fontId="12" fillId="0" borderId="0" xfId="3" applyNumberFormat="1" applyFont="1"/>
    <xf numFmtId="0" fontId="15" fillId="0" borderId="0" xfId="3" applyFont="1"/>
    <xf numFmtId="0" fontId="4" fillId="0" borderId="0" xfId="3" applyFont="1"/>
    <xf numFmtId="0" fontId="7" fillId="0" borderId="0" xfId="3" applyFont="1"/>
    <xf numFmtId="3" fontId="2" fillId="0" borderId="0" xfId="3" applyNumberFormat="1" applyAlignment="1">
      <alignment horizontal="right"/>
    </xf>
    <xf numFmtId="1" fontId="2" fillId="0" borderId="0" xfId="3" applyNumberFormat="1" applyAlignment="1">
      <alignment horizontal="center"/>
    </xf>
    <xf numFmtId="0" fontId="15" fillId="0" borderId="0" xfId="3" applyFont="1" applyAlignment="1">
      <alignment horizontal="center"/>
    </xf>
    <xf numFmtId="0" fontId="7" fillId="0" borderId="0" xfId="3" applyFont="1" applyAlignment="1">
      <alignment horizontal="center"/>
    </xf>
    <xf numFmtId="0" fontId="2" fillId="0" borderId="0" xfId="3" quotePrefix="1"/>
    <xf numFmtId="0" fontId="17" fillId="0" borderId="0" xfId="3" applyFont="1"/>
    <xf numFmtId="0" fontId="18" fillId="0" borderId="0" xfId="3" applyFont="1"/>
    <xf numFmtId="3" fontId="2" fillId="0" borderId="0" xfId="3" applyNumberFormat="1" applyAlignment="1">
      <alignment horizontal="center"/>
    </xf>
    <xf numFmtId="0" fontId="19" fillId="0" borderId="2" xfId="3" applyFont="1" applyBorder="1" applyAlignment="1">
      <alignment horizontal="center"/>
    </xf>
    <xf numFmtId="0" fontId="19" fillId="0" borderId="3" xfId="3" applyFont="1" applyBorder="1" applyAlignment="1">
      <alignment horizontal="center"/>
    </xf>
    <xf numFmtId="0" fontId="2" fillId="0" borderId="1" xfId="3" applyBorder="1"/>
    <xf numFmtId="0" fontId="2" fillId="0" borderId="2" xfId="3" applyBorder="1"/>
    <xf numFmtId="0" fontId="2" fillId="0" borderId="3" xfId="3" applyBorder="1" applyAlignment="1">
      <alignment horizontal="center"/>
    </xf>
    <xf numFmtId="0" fontId="20" fillId="0" borderId="3" xfId="3" applyFont="1" applyBorder="1" applyAlignment="1">
      <alignment horizontal="center"/>
    </xf>
    <xf numFmtId="49" fontId="15" fillId="0" borderId="0" xfId="3" applyNumberFormat="1" applyFont="1" applyAlignment="1">
      <alignment wrapText="1"/>
    </xf>
    <xf numFmtId="49" fontId="15" fillId="0" borderId="2" xfId="3" applyNumberFormat="1" applyFont="1" applyBorder="1" applyAlignment="1">
      <alignment horizontal="center" wrapText="1"/>
    </xf>
    <xf numFmtId="49" fontId="15" fillId="0" borderId="1" xfId="3" applyNumberFormat="1" applyFont="1" applyBorder="1" applyAlignment="1">
      <alignment horizontal="center" wrapText="1"/>
    </xf>
    <xf numFmtId="49" fontId="15" fillId="0" borderId="0" xfId="3" applyNumberFormat="1" applyFont="1" applyAlignment="1">
      <alignment horizontal="center" wrapText="1"/>
    </xf>
    <xf numFmtId="49" fontId="15" fillId="0" borderId="3" xfId="3" applyNumberFormat="1" applyFont="1" applyBorder="1" applyAlignment="1">
      <alignment horizontal="center" wrapText="1"/>
    </xf>
    <xf numFmtId="49" fontId="15" fillId="0" borderId="4" xfId="3" applyNumberFormat="1" applyFont="1" applyBorder="1" applyAlignment="1">
      <alignment horizontal="center" wrapText="1"/>
    </xf>
    <xf numFmtId="49" fontId="15" fillId="0" borderId="5" xfId="3" applyNumberFormat="1" applyFont="1" applyBorder="1" applyAlignment="1">
      <alignment horizontal="center" wrapText="1"/>
    </xf>
    <xf numFmtId="49" fontId="15" fillId="0" borderId="4" xfId="3" quotePrefix="1" applyNumberFormat="1" applyFont="1" applyBorder="1" applyAlignment="1">
      <alignment horizontal="center" wrapText="1"/>
    </xf>
    <xf numFmtId="49" fontId="15" fillId="0" borderId="2" xfId="3" quotePrefix="1" applyNumberFormat="1" applyFont="1" applyBorder="1" applyAlignment="1">
      <alignment horizontal="center" wrapText="1"/>
    </xf>
    <xf numFmtId="1" fontId="2" fillId="0" borderId="2" xfId="3" applyNumberFormat="1" applyBorder="1" applyAlignment="1">
      <alignment horizontal="center"/>
    </xf>
    <xf numFmtId="0" fontId="20" fillId="0" borderId="1" xfId="3" applyFont="1" applyBorder="1" applyAlignment="1">
      <alignment horizontal="center"/>
    </xf>
    <xf numFmtId="3" fontId="20" fillId="0" borderId="0" xfId="3" applyNumberFormat="1" applyFont="1" applyAlignment="1">
      <alignment horizontal="center"/>
    </xf>
    <xf numFmtId="4" fontId="20" fillId="0" borderId="2" xfId="3" applyNumberFormat="1" applyFont="1" applyBorder="1" applyAlignment="1">
      <alignment horizontal="center"/>
    </xf>
    <xf numFmtId="9" fontId="20" fillId="0" borderId="3" xfId="3" applyNumberFormat="1" applyFont="1" applyBorder="1" applyAlignment="1">
      <alignment horizontal="center"/>
    </xf>
    <xf numFmtId="166" fontId="12" fillId="0" borderId="1" xfId="3" applyNumberFormat="1" applyFont="1" applyBorder="1" applyAlignment="1">
      <alignment horizontal="center"/>
    </xf>
    <xf numFmtId="3" fontId="12" fillId="0" borderId="4" xfId="3" applyNumberFormat="1" applyFont="1" applyBorder="1" applyAlignment="1">
      <alignment horizontal="center"/>
    </xf>
    <xf numFmtId="3" fontId="12" fillId="0" borderId="2" xfId="3" applyNumberFormat="1" applyFont="1" applyBorder="1" applyAlignment="1">
      <alignment horizontal="center"/>
    </xf>
    <xf numFmtId="3" fontId="12" fillId="0" borderId="1" xfId="3" applyNumberFormat="1" applyFont="1" applyBorder="1" applyAlignment="1">
      <alignment horizontal="center"/>
    </xf>
    <xf numFmtId="3" fontId="12" fillId="0" borderId="5" xfId="3" applyNumberFormat="1" applyFont="1" applyBorder="1" applyAlignment="1">
      <alignment horizontal="center"/>
    </xf>
    <xf numFmtId="164" fontId="12" fillId="0" borderId="4" xfId="3" applyNumberFormat="1" applyFont="1" applyBorder="1" applyAlignment="1">
      <alignment horizontal="center"/>
    </xf>
    <xf numFmtId="3" fontId="12" fillId="0" borderId="0" xfId="3" applyNumberFormat="1" applyFont="1" applyAlignment="1">
      <alignment horizontal="center"/>
    </xf>
    <xf numFmtId="164" fontId="12" fillId="0" borderId="2" xfId="3" applyNumberFormat="1" applyFont="1" applyBorder="1" applyAlignment="1">
      <alignment horizontal="center"/>
    </xf>
    <xf numFmtId="164" fontId="2" fillId="0" borderId="0" xfId="3" applyNumberFormat="1"/>
    <xf numFmtId="9" fontId="2" fillId="0" borderId="0" xfId="3" applyNumberFormat="1"/>
    <xf numFmtId="0" fontId="2" fillId="2" borderId="0" xfId="3" applyFill="1"/>
    <xf numFmtId="0" fontId="20" fillId="0" borderId="0" xfId="3" applyFont="1" applyAlignment="1">
      <alignment horizontal="center"/>
    </xf>
    <xf numFmtId="4" fontId="20" fillId="0" borderId="0" xfId="3" applyNumberFormat="1" applyFont="1" applyAlignment="1">
      <alignment horizontal="center"/>
    </xf>
    <xf numFmtId="9" fontId="20" fillId="0" borderId="0" xfId="3" applyNumberFormat="1" applyFont="1" applyAlignment="1">
      <alignment horizontal="center"/>
    </xf>
    <xf numFmtId="166" fontId="12" fillId="0" borderId="0" xfId="3" applyNumberFormat="1" applyFont="1" applyAlignment="1">
      <alignment horizontal="center"/>
    </xf>
    <xf numFmtId="164" fontId="12" fillId="0" borderId="0" xfId="3" applyNumberFormat="1" applyFont="1" applyAlignment="1">
      <alignment horizontal="center"/>
    </xf>
    <xf numFmtId="0" fontId="5" fillId="0" borderId="0" xfId="3" applyFont="1"/>
    <xf numFmtId="0" fontId="21" fillId="0" borderId="0" xfId="3" applyFont="1"/>
    <xf numFmtId="0" fontId="22" fillId="0" borderId="0" xfId="3" applyFont="1"/>
    <xf numFmtId="0" fontId="25" fillId="0" borderId="0" xfId="1" applyFont="1"/>
    <xf numFmtId="0" fontId="7" fillId="0" borderId="0" xfId="1" applyFont="1" applyAlignment="1">
      <alignment wrapText="1"/>
    </xf>
    <xf numFmtId="16" fontId="4" fillId="0" borderId="0" xfId="1" applyNumberFormat="1" applyFont="1"/>
    <xf numFmtId="4" fontId="3" fillId="0" borderId="0" xfId="1" applyNumberFormat="1"/>
    <xf numFmtId="0" fontId="26" fillId="0" borderId="0" xfId="1" applyFont="1"/>
    <xf numFmtId="1" fontId="4" fillId="0" borderId="0" xfId="1" applyNumberFormat="1" applyFont="1"/>
    <xf numFmtId="0" fontId="3" fillId="4" borderId="0" xfId="1" applyFill="1"/>
    <xf numFmtId="0" fontId="3" fillId="5" borderId="0" xfId="1" applyFill="1"/>
    <xf numFmtId="0" fontId="1" fillId="0" borderId="0" xfId="4"/>
    <xf numFmtId="0" fontId="1" fillId="4" borderId="0" xfId="4" applyFill="1"/>
    <xf numFmtId="1" fontId="3" fillId="4" borderId="0" xfId="1" applyNumberFormat="1" applyFill="1"/>
    <xf numFmtId="1" fontId="3" fillId="5" borderId="0" xfId="1" applyNumberFormat="1" applyFill="1"/>
    <xf numFmtId="0" fontId="1" fillId="0" borderId="0" xfId="4" applyAlignment="1">
      <alignment wrapText="1"/>
    </xf>
    <xf numFmtId="0" fontId="3" fillId="3" borderId="0" xfId="1" quotePrefix="1" applyFill="1" applyAlignment="1">
      <alignment horizontal="center"/>
    </xf>
    <xf numFmtId="0" fontId="3" fillId="3" borderId="0" xfId="1" applyFill="1" applyAlignment="1">
      <alignment horizontal="center"/>
    </xf>
    <xf numFmtId="1" fontId="1" fillId="0" borderId="0" xfId="4" applyNumberFormat="1"/>
    <xf numFmtId="0" fontId="3" fillId="0" borderId="0" xfId="1" applyAlignment="1">
      <alignment horizontal="center"/>
    </xf>
    <xf numFmtId="0" fontId="3" fillId="6" borderId="0" xfId="1" applyFill="1"/>
    <xf numFmtId="1" fontId="3" fillId="6" borderId="0" xfId="1" applyNumberFormat="1" applyFill="1"/>
    <xf numFmtId="0" fontId="3" fillId="7" borderId="0" xfId="1" applyFill="1"/>
    <xf numFmtId="1" fontId="3" fillId="7" borderId="0" xfId="1" applyNumberFormat="1" applyFill="1"/>
    <xf numFmtId="3" fontId="4" fillId="0" borderId="0" xfId="1" applyNumberFormat="1" applyFont="1"/>
    <xf numFmtId="1" fontId="0" fillId="0" borderId="0" xfId="0" applyNumberFormat="1"/>
    <xf numFmtId="1" fontId="3" fillId="8" borderId="0" xfId="1" applyNumberFormat="1" applyFill="1"/>
    <xf numFmtId="0" fontId="3" fillId="8" borderId="0" xfId="1" applyFill="1"/>
    <xf numFmtId="0" fontId="3" fillId="9" borderId="0" xfId="1" applyFill="1"/>
    <xf numFmtId="1" fontId="3" fillId="9" borderId="0" xfId="1" applyNumberFormat="1" applyFill="1"/>
    <xf numFmtId="9" fontId="3" fillId="10" borderId="0" xfId="1" applyNumberFormat="1" applyFill="1"/>
    <xf numFmtId="1" fontId="3" fillId="11" borderId="0" xfId="1" applyNumberFormat="1" applyFill="1"/>
    <xf numFmtId="3" fontId="3" fillId="11" borderId="0" xfId="1" applyNumberFormat="1" applyFill="1"/>
    <xf numFmtId="0" fontId="7" fillId="0" borderId="0" xfId="1" applyFont="1" applyAlignment="1">
      <alignment horizontal="center" wrapText="1"/>
    </xf>
    <xf numFmtId="0" fontId="4" fillId="0" borderId="0" xfId="1" applyFont="1" applyAlignment="1">
      <alignment horizontal="center"/>
    </xf>
    <xf numFmtId="1" fontId="1" fillId="4" borderId="0" xfId="4" applyNumberFormat="1" applyFill="1"/>
    <xf numFmtId="0" fontId="28" fillId="0" borderId="0" xfId="0" applyFont="1" applyBorder="1" applyAlignment="1">
      <alignment vertical="center" wrapText="1"/>
    </xf>
    <xf numFmtId="0" fontId="28" fillId="0" borderId="0" xfId="0" applyFont="1" applyBorder="1" applyAlignment="1">
      <alignment horizontal="center" vertical="center" wrapText="1"/>
    </xf>
    <xf numFmtId="0" fontId="3" fillId="0" borderId="0" xfId="1" applyBorder="1"/>
    <xf numFmtId="0" fontId="29" fillId="0" borderId="0" xfId="0" applyFont="1" applyBorder="1" applyAlignment="1">
      <alignment vertical="center" wrapText="1"/>
    </xf>
    <xf numFmtId="9" fontId="29" fillId="0" borderId="0" xfId="0" applyNumberFormat="1" applyFont="1" applyBorder="1" applyAlignment="1">
      <alignment horizontal="center" vertical="center" wrapText="1"/>
    </xf>
    <xf numFmtId="9" fontId="3" fillId="0" borderId="0" xfId="1" applyNumberFormat="1" applyBorder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19" fillId="0" borderId="1" xfId="3" applyFont="1" applyBorder="1" applyAlignment="1">
      <alignment horizontal="center"/>
    </xf>
    <xf numFmtId="0" fontId="19" fillId="0" borderId="0" xfId="3" applyFont="1" applyAlignment="1">
      <alignment horizontal="center"/>
    </xf>
    <xf numFmtId="0" fontId="19" fillId="0" borderId="2" xfId="3" applyFont="1" applyBorder="1" applyAlignment="1">
      <alignment horizontal="center"/>
    </xf>
    <xf numFmtId="0" fontId="18" fillId="0" borderId="1" xfId="3" applyFont="1" applyBorder="1" applyAlignment="1">
      <alignment horizontal="center"/>
    </xf>
    <xf numFmtId="0" fontId="18" fillId="0" borderId="0" xfId="3" applyFont="1" applyAlignment="1">
      <alignment horizontal="center"/>
    </xf>
    <xf numFmtId="0" fontId="18" fillId="0" borderId="2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5" xfId="3" applyFont="1" applyBorder="1" applyAlignment="1">
      <alignment horizontal="center"/>
    </xf>
  </cellXfs>
  <cellStyles count="5">
    <cellStyle name="Normal" xfId="0" builtinId="0"/>
    <cellStyle name="Normal 2" xfId="1" xr:uid="{6E62ED99-637F-4CE3-BC0B-142C75142F2A}"/>
    <cellStyle name="Normal 2 2" xfId="2" xr:uid="{06241949-D6E8-41E9-8313-F0F966FA119B}"/>
    <cellStyle name="Normal 2 2 2" xfId="4" xr:uid="{A8351D06-48CA-4A79-B010-4AB47065580C}"/>
    <cellStyle name="Normal 3" xfId="3" xr:uid="{A922AF64-AA5A-4C23-9CA4-A8779D2916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276224</xdr:colOff>
      <xdr:row>42</xdr:row>
      <xdr:rowOff>54483</xdr:rowOff>
    </xdr:from>
    <xdr:to>
      <xdr:col>10</xdr:col>
      <xdr:colOff>466724</xdr:colOff>
      <xdr:row>59</xdr:row>
      <xdr:rowOff>126111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952391-1048-4452-8DBC-14983AF7A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299" y="8255508"/>
          <a:ext cx="5172075" cy="3310128"/>
        </a:xfrm>
        <a:prstGeom prst="rect">
          <a:avLst/>
        </a:prstGeom>
      </xdr:spPr>
    </xdr:pic>
    <xdr:clientData/>
  </xdr:twoCellAnchor>
  <xdr:twoCellAnchor editAs="oneCell">
    <xdr:from>
      <xdr:col>5</xdr:col>
      <xdr:colOff>828675</xdr:colOff>
      <xdr:row>65</xdr:row>
      <xdr:rowOff>104775</xdr:rowOff>
    </xdr:from>
    <xdr:to>
      <xdr:col>11</xdr:col>
      <xdr:colOff>771525</xdr:colOff>
      <xdr:row>110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5E9191-DA3D-4AF2-94FB-F2A4252B4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6550" y="12734925"/>
          <a:ext cx="6438900" cy="8639175"/>
        </a:xfrm>
        <a:prstGeom prst="rect">
          <a:avLst/>
        </a:prstGeom>
      </xdr:spPr>
    </xdr:pic>
    <xdr:clientData/>
  </xdr:twoCellAnchor>
  <xdr:twoCellAnchor editAs="oneCell">
    <xdr:from>
      <xdr:col>12</xdr:col>
      <xdr:colOff>828675</xdr:colOff>
      <xdr:row>65</xdr:row>
      <xdr:rowOff>66675</xdr:rowOff>
    </xdr:from>
    <xdr:to>
      <xdr:col>18</xdr:col>
      <xdr:colOff>590550</xdr:colOff>
      <xdr:row>105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016858D-5031-43FA-A2A9-23CBE7B52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92250" y="12696825"/>
          <a:ext cx="5962650" cy="7734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152400</xdr:rowOff>
    </xdr:from>
    <xdr:to>
      <xdr:col>3</xdr:col>
      <xdr:colOff>816154</xdr:colOff>
      <xdr:row>12</xdr:row>
      <xdr:rowOff>28676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E96FAD-D933-4BCC-B616-109C93366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2525" y="152400"/>
          <a:ext cx="3454579" cy="1990826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12</xdr:row>
      <xdr:rowOff>47625</xdr:rowOff>
    </xdr:from>
    <xdr:to>
      <xdr:col>4</xdr:col>
      <xdr:colOff>378057</xdr:colOff>
      <xdr:row>18</xdr:row>
      <xdr:rowOff>139754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18596F-B0FE-421E-A6AE-5BC98D81A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5375" y="2152650"/>
          <a:ext cx="4302357" cy="10636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7F9AE-A45C-43AA-83C2-6E0343B04281}">
  <dimension ref="A1:AU149"/>
  <sheetViews>
    <sheetView workbookViewId="0">
      <selection activeCell="E20" sqref="E20"/>
    </sheetView>
  </sheetViews>
  <sheetFormatPr defaultRowHeight="12.5" x14ac:dyDescent="0.25"/>
  <cols>
    <col min="1" max="1" width="9.1796875" style="1"/>
    <col min="2" max="2" width="21.26953125" style="1" customWidth="1"/>
    <col min="3" max="10" width="9.1796875" style="1"/>
    <col min="11" max="11" width="10.54296875" style="1" customWidth="1"/>
    <col min="12" max="12" width="7.54296875" style="1" customWidth="1"/>
    <col min="13" max="13" width="10.453125" style="1" bestFit="1" customWidth="1"/>
    <col min="14" max="14" width="10.453125" style="1" customWidth="1"/>
    <col min="15" max="22" width="9.1796875" style="1"/>
    <col min="23" max="23" width="10.7265625" style="1" bestFit="1" customWidth="1"/>
    <col min="24" max="26" width="9.1796875" style="1"/>
    <col min="27" max="27" width="11.7265625" style="1" customWidth="1"/>
    <col min="28" max="28" width="10.1796875" style="1" bestFit="1" customWidth="1"/>
    <col min="29" max="33" width="10.1796875" style="1" customWidth="1"/>
    <col min="34" max="46" width="9.26953125" style="1" bestFit="1" customWidth="1"/>
    <col min="47" max="47" width="10.1796875" style="1" bestFit="1" customWidth="1"/>
    <col min="48" max="257" width="9.1796875" style="1"/>
    <col min="258" max="258" width="21.26953125" style="1" customWidth="1"/>
    <col min="259" max="266" width="9.1796875" style="1"/>
    <col min="267" max="267" width="10.54296875" style="1" customWidth="1"/>
    <col min="268" max="268" width="7.54296875" style="1" customWidth="1"/>
    <col min="269" max="269" width="10.453125" style="1" bestFit="1" customWidth="1"/>
    <col min="270" max="270" width="10.453125" style="1" customWidth="1"/>
    <col min="271" max="278" width="9.1796875" style="1"/>
    <col min="279" max="279" width="10.7265625" style="1" bestFit="1" customWidth="1"/>
    <col min="280" max="282" width="9.1796875" style="1"/>
    <col min="283" max="283" width="11.7265625" style="1" customWidth="1"/>
    <col min="284" max="284" width="10.1796875" style="1" bestFit="1" customWidth="1"/>
    <col min="285" max="289" width="10.1796875" style="1" customWidth="1"/>
    <col min="290" max="302" width="9.26953125" style="1" bestFit="1" customWidth="1"/>
    <col min="303" max="303" width="10.1796875" style="1" bestFit="1" customWidth="1"/>
    <col min="304" max="513" width="9.1796875" style="1"/>
    <col min="514" max="514" width="21.26953125" style="1" customWidth="1"/>
    <col min="515" max="522" width="9.1796875" style="1"/>
    <col min="523" max="523" width="10.54296875" style="1" customWidth="1"/>
    <col min="524" max="524" width="7.54296875" style="1" customWidth="1"/>
    <col min="525" max="525" width="10.453125" style="1" bestFit="1" customWidth="1"/>
    <col min="526" max="526" width="10.453125" style="1" customWidth="1"/>
    <col min="527" max="534" width="9.1796875" style="1"/>
    <col min="535" max="535" width="10.7265625" style="1" bestFit="1" customWidth="1"/>
    <col min="536" max="538" width="9.1796875" style="1"/>
    <col min="539" max="539" width="11.7265625" style="1" customWidth="1"/>
    <col min="540" max="540" width="10.1796875" style="1" bestFit="1" customWidth="1"/>
    <col min="541" max="545" width="10.1796875" style="1" customWidth="1"/>
    <col min="546" max="558" width="9.26953125" style="1" bestFit="1" customWidth="1"/>
    <col min="559" max="559" width="10.1796875" style="1" bestFit="1" customWidth="1"/>
    <col min="560" max="769" width="9.1796875" style="1"/>
    <col min="770" max="770" width="21.26953125" style="1" customWidth="1"/>
    <col min="771" max="778" width="9.1796875" style="1"/>
    <col min="779" max="779" width="10.54296875" style="1" customWidth="1"/>
    <col min="780" max="780" width="7.54296875" style="1" customWidth="1"/>
    <col min="781" max="781" width="10.453125" style="1" bestFit="1" customWidth="1"/>
    <col min="782" max="782" width="10.453125" style="1" customWidth="1"/>
    <col min="783" max="790" width="9.1796875" style="1"/>
    <col min="791" max="791" width="10.7265625" style="1" bestFit="1" customWidth="1"/>
    <col min="792" max="794" width="9.1796875" style="1"/>
    <col min="795" max="795" width="11.7265625" style="1" customWidth="1"/>
    <col min="796" max="796" width="10.1796875" style="1" bestFit="1" customWidth="1"/>
    <col min="797" max="801" width="10.1796875" style="1" customWidth="1"/>
    <col min="802" max="814" width="9.26953125" style="1" bestFit="1" customWidth="1"/>
    <col min="815" max="815" width="10.1796875" style="1" bestFit="1" customWidth="1"/>
    <col min="816" max="1025" width="9.1796875" style="1"/>
    <col min="1026" max="1026" width="21.26953125" style="1" customWidth="1"/>
    <col min="1027" max="1034" width="9.1796875" style="1"/>
    <col min="1035" max="1035" width="10.54296875" style="1" customWidth="1"/>
    <col min="1036" max="1036" width="7.54296875" style="1" customWidth="1"/>
    <col min="1037" max="1037" width="10.453125" style="1" bestFit="1" customWidth="1"/>
    <col min="1038" max="1038" width="10.453125" style="1" customWidth="1"/>
    <col min="1039" max="1046" width="9.1796875" style="1"/>
    <col min="1047" max="1047" width="10.7265625" style="1" bestFit="1" customWidth="1"/>
    <col min="1048" max="1050" width="9.1796875" style="1"/>
    <col min="1051" max="1051" width="11.7265625" style="1" customWidth="1"/>
    <col min="1052" max="1052" width="10.1796875" style="1" bestFit="1" customWidth="1"/>
    <col min="1053" max="1057" width="10.1796875" style="1" customWidth="1"/>
    <col min="1058" max="1070" width="9.26953125" style="1" bestFit="1" customWidth="1"/>
    <col min="1071" max="1071" width="10.1796875" style="1" bestFit="1" customWidth="1"/>
    <col min="1072" max="1281" width="9.1796875" style="1"/>
    <col min="1282" max="1282" width="21.26953125" style="1" customWidth="1"/>
    <col min="1283" max="1290" width="9.1796875" style="1"/>
    <col min="1291" max="1291" width="10.54296875" style="1" customWidth="1"/>
    <col min="1292" max="1292" width="7.54296875" style="1" customWidth="1"/>
    <col min="1293" max="1293" width="10.453125" style="1" bestFit="1" customWidth="1"/>
    <col min="1294" max="1294" width="10.453125" style="1" customWidth="1"/>
    <col min="1295" max="1302" width="9.1796875" style="1"/>
    <col min="1303" max="1303" width="10.7265625" style="1" bestFit="1" customWidth="1"/>
    <col min="1304" max="1306" width="9.1796875" style="1"/>
    <col min="1307" max="1307" width="11.7265625" style="1" customWidth="1"/>
    <col min="1308" max="1308" width="10.1796875" style="1" bestFit="1" customWidth="1"/>
    <col min="1309" max="1313" width="10.1796875" style="1" customWidth="1"/>
    <col min="1314" max="1326" width="9.26953125" style="1" bestFit="1" customWidth="1"/>
    <col min="1327" max="1327" width="10.1796875" style="1" bestFit="1" customWidth="1"/>
    <col min="1328" max="1537" width="9.1796875" style="1"/>
    <col min="1538" max="1538" width="21.26953125" style="1" customWidth="1"/>
    <col min="1539" max="1546" width="9.1796875" style="1"/>
    <col min="1547" max="1547" width="10.54296875" style="1" customWidth="1"/>
    <col min="1548" max="1548" width="7.54296875" style="1" customWidth="1"/>
    <col min="1549" max="1549" width="10.453125" style="1" bestFit="1" customWidth="1"/>
    <col min="1550" max="1550" width="10.453125" style="1" customWidth="1"/>
    <col min="1551" max="1558" width="9.1796875" style="1"/>
    <col min="1559" max="1559" width="10.7265625" style="1" bestFit="1" customWidth="1"/>
    <col min="1560" max="1562" width="9.1796875" style="1"/>
    <col min="1563" max="1563" width="11.7265625" style="1" customWidth="1"/>
    <col min="1564" max="1564" width="10.1796875" style="1" bestFit="1" customWidth="1"/>
    <col min="1565" max="1569" width="10.1796875" style="1" customWidth="1"/>
    <col min="1570" max="1582" width="9.26953125" style="1" bestFit="1" customWidth="1"/>
    <col min="1583" max="1583" width="10.1796875" style="1" bestFit="1" customWidth="1"/>
    <col min="1584" max="1793" width="9.1796875" style="1"/>
    <col min="1794" max="1794" width="21.26953125" style="1" customWidth="1"/>
    <col min="1795" max="1802" width="9.1796875" style="1"/>
    <col min="1803" max="1803" width="10.54296875" style="1" customWidth="1"/>
    <col min="1804" max="1804" width="7.54296875" style="1" customWidth="1"/>
    <col min="1805" max="1805" width="10.453125" style="1" bestFit="1" customWidth="1"/>
    <col min="1806" max="1806" width="10.453125" style="1" customWidth="1"/>
    <col min="1807" max="1814" width="9.1796875" style="1"/>
    <col min="1815" max="1815" width="10.7265625" style="1" bestFit="1" customWidth="1"/>
    <col min="1816" max="1818" width="9.1796875" style="1"/>
    <col min="1819" max="1819" width="11.7265625" style="1" customWidth="1"/>
    <col min="1820" max="1820" width="10.1796875" style="1" bestFit="1" customWidth="1"/>
    <col min="1821" max="1825" width="10.1796875" style="1" customWidth="1"/>
    <col min="1826" max="1838" width="9.26953125" style="1" bestFit="1" customWidth="1"/>
    <col min="1839" max="1839" width="10.1796875" style="1" bestFit="1" customWidth="1"/>
    <col min="1840" max="2049" width="9.1796875" style="1"/>
    <col min="2050" max="2050" width="21.26953125" style="1" customWidth="1"/>
    <col min="2051" max="2058" width="9.1796875" style="1"/>
    <col min="2059" max="2059" width="10.54296875" style="1" customWidth="1"/>
    <col min="2060" max="2060" width="7.54296875" style="1" customWidth="1"/>
    <col min="2061" max="2061" width="10.453125" style="1" bestFit="1" customWidth="1"/>
    <col min="2062" max="2062" width="10.453125" style="1" customWidth="1"/>
    <col min="2063" max="2070" width="9.1796875" style="1"/>
    <col min="2071" max="2071" width="10.7265625" style="1" bestFit="1" customWidth="1"/>
    <col min="2072" max="2074" width="9.1796875" style="1"/>
    <col min="2075" max="2075" width="11.7265625" style="1" customWidth="1"/>
    <col min="2076" max="2076" width="10.1796875" style="1" bestFit="1" customWidth="1"/>
    <col min="2077" max="2081" width="10.1796875" style="1" customWidth="1"/>
    <col min="2082" max="2094" width="9.26953125" style="1" bestFit="1" customWidth="1"/>
    <col min="2095" max="2095" width="10.1796875" style="1" bestFit="1" customWidth="1"/>
    <col min="2096" max="2305" width="9.1796875" style="1"/>
    <col min="2306" max="2306" width="21.26953125" style="1" customWidth="1"/>
    <col min="2307" max="2314" width="9.1796875" style="1"/>
    <col min="2315" max="2315" width="10.54296875" style="1" customWidth="1"/>
    <col min="2316" max="2316" width="7.54296875" style="1" customWidth="1"/>
    <col min="2317" max="2317" width="10.453125" style="1" bestFit="1" customWidth="1"/>
    <col min="2318" max="2318" width="10.453125" style="1" customWidth="1"/>
    <col min="2319" max="2326" width="9.1796875" style="1"/>
    <col min="2327" max="2327" width="10.7265625" style="1" bestFit="1" customWidth="1"/>
    <col min="2328" max="2330" width="9.1796875" style="1"/>
    <col min="2331" max="2331" width="11.7265625" style="1" customWidth="1"/>
    <col min="2332" max="2332" width="10.1796875" style="1" bestFit="1" customWidth="1"/>
    <col min="2333" max="2337" width="10.1796875" style="1" customWidth="1"/>
    <col min="2338" max="2350" width="9.26953125" style="1" bestFit="1" customWidth="1"/>
    <col min="2351" max="2351" width="10.1796875" style="1" bestFit="1" customWidth="1"/>
    <col min="2352" max="2561" width="9.1796875" style="1"/>
    <col min="2562" max="2562" width="21.26953125" style="1" customWidth="1"/>
    <col min="2563" max="2570" width="9.1796875" style="1"/>
    <col min="2571" max="2571" width="10.54296875" style="1" customWidth="1"/>
    <col min="2572" max="2572" width="7.54296875" style="1" customWidth="1"/>
    <col min="2573" max="2573" width="10.453125" style="1" bestFit="1" customWidth="1"/>
    <col min="2574" max="2574" width="10.453125" style="1" customWidth="1"/>
    <col min="2575" max="2582" width="9.1796875" style="1"/>
    <col min="2583" max="2583" width="10.7265625" style="1" bestFit="1" customWidth="1"/>
    <col min="2584" max="2586" width="9.1796875" style="1"/>
    <col min="2587" max="2587" width="11.7265625" style="1" customWidth="1"/>
    <col min="2588" max="2588" width="10.1796875" style="1" bestFit="1" customWidth="1"/>
    <col min="2589" max="2593" width="10.1796875" style="1" customWidth="1"/>
    <col min="2594" max="2606" width="9.26953125" style="1" bestFit="1" customWidth="1"/>
    <col min="2607" max="2607" width="10.1796875" style="1" bestFit="1" customWidth="1"/>
    <col min="2608" max="2817" width="9.1796875" style="1"/>
    <col min="2818" max="2818" width="21.26953125" style="1" customWidth="1"/>
    <col min="2819" max="2826" width="9.1796875" style="1"/>
    <col min="2827" max="2827" width="10.54296875" style="1" customWidth="1"/>
    <col min="2828" max="2828" width="7.54296875" style="1" customWidth="1"/>
    <col min="2829" max="2829" width="10.453125" style="1" bestFit="1" customWidth="1"/>
    <col min="2830" max="2830" width="10.453125" style="1" customWidth="1"/>
    <col min="2831" max="2838" width="9.1796875" style="1"/>
    <col min="2839" max="2839" width="10.7265625" style="1" bestFit="1" customWidth="1"/>
    <col min="2840" max="2842" width="9.1796875" style="1"/>
    <col min="2843" max="2843" width="11.7265625" style="1" customWidth="1"/>
    <col min="2844" max="2844" width="10.1796875" style="1" bestFit="1" customWidth="1"/>
    <col min="2845" max="2849" width="10.1796875" style="1" customWidth="1"/>
    <col min="2850" max="2862" width="9.26953125" style="1" bestFit="1" customWidth="1"/>
    <col min="2863" max="2863" width="10.1796875" style="1" bestFit="1" customWidth="1"/>
    <col min="2864" max="3073" width="9.1796875" style="1"/>
    <col min="3074" max="3074" width="21.26953125" style="1" customWidth="1"/>
    <col min="3075" max="3082" width="9.1796875" style="1"/>
    <col min="3083" max="3083" width="10.54296875" style="1" customWidth="1"/>
    <col min="3084" max="3084" width="7.54296875" style="1" customWidth="1"/>
    <col min="3085" max="3085" width="10.453125" style="1" bestFit="1" customWidth="1"/>
    <col min="3086" max="3086" width="10.453125" style="1" customWidth="1"/>
    <col min="3087" max="3094" width="9.1796875" style="1"/>
    <col min="3095" max="3095" width="10.7265625" style="1" bestFit="1" customWidth="1"/>
    <col min="3096" max="3098" width="9.1796875" style="1"/>
    <col min="3099" max="3099" width="11.7265625" style="1" customWidth="1"/>
    <col min="3100" max="3100" width="10.1796875" style="1" bestFit="1" customWidth="1"/>
    <col min="3101" max="3105" width="10.1796875" style="1" customWidth="1"/>
    <col min="3106" max="3118" width="9.26953125" style="1" bestFit="1" customWidth="1"/>
    <col min="3119" max="3119" width="10.1796875" style="1" bestFit="1" customWidth="1"/>
    <col min="3120" max="3329" width="9.1796875" style="1"/>
    <col min="3330" max="3330" width="21.26953125" style="1" customWidth="1"/>
    <col min="3331" max="3338" width="9.1796875" style="1"/>
    <col min="3339" max="3339" width="10.54296875" style="1" customWidth="1"/>
    <col min="3340" max="3340" width="7.54296875" style="1" customWidth="1"/>
    <col min="3341" max="3341" width="10.453125" style="1" bestFit="1" customWidth="1"/>
    <col min="3342" max="3342" width="10.453125" style="1" customWidth="1"/>
    <col min="3343" max="3350" width="9.1796875" style="1"/>
    <col min="3351" max="3351" width="10.7265625" style="1" bestFit="1" customWidth="1"/>
    <col min="3352" max="3354" width="9.1796875" style="1"/>
    <col min="3355" max="3355" width="11.7265625" style="1" customWidth="1"/>
    <col min="3356" max="3356" width="10.1796875" style="1" bestFit="1" customWidth="1"/>
    <col min="3357" max="3361" width="10.1796875" style="1" customWidth="1"/>
    <col min="3362" max="3374" width="9.26953125" style="1" bestFit="1" customWidth="1"/>
    <col min="3375" max="3375" width="10.1796875" style="1" bestFit="1" customWidth="1"/>
    <col min="3376" max="3585" width="9.1796875" style="1"/>
    <col min="3586" max="3586" width="21.26953125" style="1" customWidth="1"/>
    <col min="3587" max="3594" width="9.1796875" style="1"/>
    <col min="3595" max="3595" width="10.54296875" style="1" customWidth="1"/>
    <col min="3596" max="3596" width="7.54296875" style="1" customWidth="1"/>
    <col min="3597" max="3597" width="10.453125" style="1" bestFit="1" customWidth="1"/>
    <col min="3598" max="3598" width="10.453125" style="1" customWidth="1"/>
    <col min="3599" max="3606" width="9.1796875" style="1"/>
    <col min="3607" max="3607" width="10.7265625" style="1" bestFit="1" customWidth="1"/>
    <col min="3608" max="3610" width="9.1796875" style="1"/>
    <col min="3611" max="3611" width="11.7265625" style="1" customWidth="1"/>
    <col min="3612" max="3612" width="10.1796875" style="1" bestFit="1" customWidth="1"/>
    <col min="3613" max="3617" width="10.1796875" style="1" customWidth="1"/>
    <col min="3618" max="3630" width="9.26953125" style="1" bestFit="1" customWidth="1"/>
    <col min="3631" max="3631" width="10.1796875" style="1" bestFit="1" customWidth="1"/>
    <col min="3632" max="3841" width="9.1796875" style="1"/>
    <col min="3842" max="3842" width="21.26953125" style="1" customWidth="1"/>
    <col min="3843" max="3850" width="9.1796875" style="1"/>
    <col min="3851" max="3851" width="10.54296875" style="1" customWidth="1"/>
    <col min="3852" max="3852" width="7.54296875" style="1" customWidth="1"/>
    <col min="3853" max="3853" width="10.453125" style="1" bestFit="1" customWidth="1"/>
    <col min="3854" max="3854" width="10.453125" style="1" customWidth="1"/>
    <col min="3855" max="3862" width="9.1796875" style="1"/>
    <col min="3863" max="3863" width="10.7265625" style="1" bestFit="1" customWidth="1"/>
    <col min="3864" max="3866" width="9.1796875" style="1"/>
    <col min="3867" max="3867" width="11.7265625" style="1" customWidth="1"/>
    <col min="3868" max="3868" width="10.1796875" style="1" bestFit="1" customWidth="1"/>
    <col min="3869" max="3873" width="10.1796875" style="1" customWidth="1"/>
    <col min="3874" max="3886" width="9.26953125" style="1" bestFit="1" customWidth="1"/>
    <col min="3887" max="3887" width="10.1796875" style="1" bestFit="1" customWidth="1"/>
    <col min="3888" max="4097" width="9.1796875" style="1"/>
    <col min="4098" max="4098" width="21.26953125" style="1" customWidth="1"/>
    <col min="4099" max="4106" width="9.1796875" style="1"/>
    <col min="4107" max="4107" width="10.54296875" style="1" customWidth="1"/>
    <col min="4108" max="4108" width="7.54296875" style="1" customWidth="1"/>
    <col min="4109" max="4109" width="10.453125" style="1" bestFit="1" customWidth="1"/>
    <col min="4110" max="4110" width="10.453125" style="1" customWidth="1"/>
    <col min="4111" max="4118" width="9.1796875" style="1"/>
    <col min="4119" max="4119" width="10.7265625" style="1" bestFit="1" customWidth="1"/>
    <col min="4120" max="4122" width="9.1796875" style="1"/>
    <col min="4123" max="4123" width="11.7265625" style="1" customWidth="1"/>
    <col min="4124" max="4124" width="10.1796875" style="1" bestFit="1" customWidth="1"/>
    <col min="4125" max="4129" width="10.1796875" style="1" customWidth="1"/>
    <col min="4130" max="4142" width="9.26953125" style="1" bestFit="1" customWidth="1"/>
    <col min="4143" max="4143" width="10.1796875" style="1" bestFit="1" customWidth="1"/>
    <col min="4144" max="4353" width="9.1796875" style="1"/>
    <col min="4354" max="4354" width="21.26953125" style="1" customWidth="1"/>
    <col min="4355" max="4362" width="9.1796875" style="1"/>
    <col min="4363" max="4363" width="10.54296875" style="1" customWidth="1"/>
    <col min="4364" max="4364" width="7.54296875" style="1" customWidth="1"/>
    <col min="4365" max="4365" width="10.453125" style="1" bestFit="1" customWidth="1"/>
    <col min="4366" max="4366" width="10.453125" style="1" customWidth="1"/>
    <col min="4367" max="4374" width="9.1796875" style="1"/>
    <col min="4375" max="4375" width="10.7265625" style="1" bestFit="1" customWidth="1"/>
    <col min="4376" max="4378" width="9.1796875" style="1"/>
    <col min="4379" max="4379" width="11.7265625" style="1" customWidth="1"/>
    <col min="4380" max="4380" width="10.1796875" style="1" bestFit="1" customWidth="1"/>
    <col min="4381" max="4385" width="10.1796875" style="1" customWidth="1"/>
    <col min="4386" max="4398" width="9.26953125" style="1" bestFit="1" customWidth="1"/>
    <col min="4399" max="4399" width="10.1796875" style="1" bestFit="1" customWidth="1"/>
    <col min="4400" max="4609" width="9.1796875" style="1"/>
    <col min="4610" max="4610" width="21.26953125" style="1" customWidth="1"/>
    <col min="4611" max="4618" width="9.1796875" style="1"/>
    <col min="4619" max="4619" width="10.54296875" style="1" customWidth="1"/>
    <col min="4620" max="4620" width="7.54296875" style="1" customWidth="1"/>
    <col min="4621" max="4621" width="10.453125" style="1" bestFit="1" customWidth="1"/>
    <col min="4622" max="4622" width="10.453125" style="1" customWidth="1"/>
    <col min="4623" max="4630" width="9.1796875" style="1"/>
    <col min="4631" max="4631" width="10.7265625" style="1" bestFit="1" customWidth="1"/>
    <col min="4632" max="4634" width="9.1796875" style="1"/>
    <col min="4635" max="4635" width="11.7265625" style="1" customWidth="1"/>
    <col min="4636" max="4636" width="10.1796875" style="1" bestFit="1" customWidth="1"/>
    <col min="4637" max="4641" width="10.1796875" style="1" customWidth="1"/>
    <col min="4642" max="4654" width="9.26953125" style="1" bestFit="1" customWidth="1"/>
    <col min="4655" max="4655" width="10.1796875" style="1" bestFit="1" customWidth="1"/>
    <col min="4656" max="4865" width="9.1796875" style="1"/>
    <col min="4866" max="4866" width="21.26953125" style="1" customWidth="1"/>
    <col min="4867" max="4874" width="9.1796875" style="1"/>
    <col min="4875" max="4875" width="10.54296875" style="1" customWidth="1"/>
    <col min="4876" max="4876" width="7.54296875" style="1" customWidth="1"/>
    <col min="4877" max="4877" width="10.453125" style="1" bestFit="1" customWidth="1"/>
    <col min="4878" max="4878" width="10.453125" style="1" customWidth="1"/>
    <col min="4879" max="4886" width="9.1796875" style="1"/>
    <col min="4887" max="4887" width="10.7265625" style="1" bestFit="1" customWidth="1"/>
    <col min="4888" max="4890" width="9.1796875" style="1"/>
    <col min="4891" max="4891" width="11.7265625" style="1" customWidth="1"/>
    <col min="4892" max="4892" width="10.1796875" style="1" bestFit="1" customWidth="1"/>
    <col min="4893" max="4897" width="10.1796875" style="1" customWidth="1"/>
    <col min="4898" max="4910" width="9.26953125" style="1" bestFit="1" customWidth="1"/>
    <col min="4911" max="4911" width="10.1796875" style="1" bestFit="1" customWidth="1"/>
    <col min="4912" max="5121" width="9.1796875" style="1"/>
    <col min="5122" max="5122" width="21.26953125" style="1" customWidth="1"/>
    <col min="5123" max="5130" width="9.1796875" style="1"/>
    <col min="5131" max="5131" width="10.54296875" style="1" customWidth="1"/>
    <col min="5132" max="5132" width="7.54296875" style="1" customWidth="1"/>
    <col min="5133" max="5133" width="10.453125" style="1" bestFit="1" customWidth="1"/>
    <col min="5134" max="5134" width="10.453125" style="1" customWidth="1"/>
    <col min="5135" max="5142" width="9.1796875" style="1"/>
    <col min="5143" max="5143" width="10.7265625" style="1" bestFit="1" customWidth="1"/>
    <col min="5144" max="5146" width="9.1796875" style="1"/>
    <col min="5147" max="5147" width="11.7265625" style="1" customWidth="1"/>
    <col min="5148" max="5148" width="10.1796875" style="1" bestFit="1" customWidth="1"/>
    <col min="5149" max="5153" width="10.1796875" style="1" customWidth="1"/>
    <col min="5154" max="5166" width="9.26953125" style="1" bestFit="1" customWidth="1"/>
    <col min="5167" max="5167" width="10.1796875" style="1" bestFit="1" customWidth="1"/>
    <col min="5168" max="5377" width="9.1796875" style="1"/>
    <col min="5378" max="5378" width="21.26953125" style="1" customWidth="1"/>
    <col min="5379" max="5386" width="9.1796875" style="1"/>
    <col min="5387" max="5387" width="10.54296875" style="1" customWidth="1"/>
    <col min="5388" max="5388" width="7.54296875" style="1" customWidth="1"/>
    <col min="5389" max="5389" width="10.453125" style="1" bestFit="1" customWidth="1"/>
    <col min="5390" max="5390" width="10.453125" style="1" customWidth="1"/>
    <col min="5391" max="5398" width="9.1796875" style="1"/>
    <col min="5399" max="5399" width="10.7265625" style="1" bestFit="1" customWidth="1"/>
    <col min="5400" max="5402" width="9.1796875" style="1"/>
    <col min="5403" max="5403" width="11.7265625" style="1" customWidth="1"/>
    <col min="5404" max="5404" width="10.1796875" style="1" bestFit="1" customWidth="1"/>
    <col min="5405" max="5409" width="10.1796875" style="1" customWidth="1"/>
    <col min="5410" max="5422" width="9.26953125" style="1" bestFit="1" customWidth="1"/>
    <col min="5423" max="5423" width="10.1796875" style="1" bestFit="1" customWidth="1"/>
    <col min="5424" max="5633" width="9.1796875" style="1"/>
    <col min="5634" max="5634" width="21.26953125" style="1" customWidth="1"/>
    <col min="5635" max="5642" width="9.1796875" style="1"/>
    <col min="5643" max="5643" width="10.54296875" style="1" customWidth="1"/>
    <col min="5644" max="5644" width="7.54296875" style="1" customWidth="1"/>
    <col min="5645" max="5645" width="10.453125" style="1" bestFit="1" customWidth="1"/>
    <col min="5646" max="5646" width="10.453125" style="1" customWidth="1"/>
    <col min="5647" max="5654" width="9.1796875" style="1"/>
    <col min="5655" max="5655" width="10.7265625" style="1" bestFit="1" customWidth="1"/>
    <col min="5656" max="5658" width="9.1796875" style="1"/>
    <col min="5659" max="5659" width="11.7265625" style="1" customWidth="1"/>
    <col min="5660" max="5660" width="10.1796875" style="1" bestFit="1" customWidth="1"/>
    <col min="5661" max="5665" width="10.1796875" style="1" customWidth="1"/>
    <col min="5666" max="5678" width="9.26953125" style="1" bestFit="1" customWidth="1"/>
    <col min="5679" max="5679" width="10.1796875" style="1" bestFit="1" customWidth="1"/>
    <col min="5680" max="5889" width="9.1796875" style="1"/>
    <col min="5890" max="5890" width="21.26953125" style="1" customWidth="1"/>
    <col min="5891" max="5898" width="9.1796875" style="1"/>
    <col min="5899" max="5899" width="10.54296875" style="1" customWidth="1"/>
    <col min="5900" max="5900" width="7.54296875" style="1" customWidth="1"/>
    <col min="5901" max="5901" width="10.453125" style="1" bestFit="1" customWidth="1"/>
    <col min="5902" max="5902" width="10.453125" style="1" customWidth="1"/>
    <col min="5903" max="5910" width="9.1796875" style="1"/>
    <col min="5911" max="5911" width="10.7265625" style="1" bestFit="1" customWidth="1"/>
    <col min="5912" max="5914" width="9.1796875" style="1"/>
    <col min="5915" max="5915" width="11.7265625" style="1" customWidth="1"/>
    <col min="5916" max="5916" width="10.1796875" style="1" bestFit="1" customWidth="1"/>
    <col min="5917" max="5921" width="10.1796875" style="1" customWidth="1"/>
    <col min="5922" max="5934" width="9.26953125" style="1" bestFit="1" customWidth="1"/>
    <col min="5935" max="5935" width="10.1796875" style="1" bestFit="1" customWidth="1"/>
    <col min="5936" max="6145" width="9.1796875" style="1"/>
    <col min="6146" max="6146" width="21.26953125" style="1" customWidth="1"/>
    <col min="6147" max="6154" width="9.1796875" style="1"/>
    <col min="6155" max="6155" width="10.54296875" style="1" customWidth="1"/>
    <col min="6156" max="6156" width="7.54296875" style="1" customWidth="1"/>
    <col min="6157" max="6157" width="10.453125" style="1" bestFit="1" customWidth="1"/>
    <col min="6158" max="6158" width="10.453125" style="1" customWidth="1"/>
    <col min="6159" max="6166" width="9.1796875" style="1"/>
    <col min="6167" max="6167" width="10.7265625" style="1" bestFit="1" customWidth="1"/>
    <col min="6168" max="6170" width="9.1796875" style="1"/>
    <col min="6171" max="6171" width="11.7265625" style="1" customWidth="1"/>
    <col min="6172" max="6172" width="10.1796875" style="1" bestFit="1" customWidth="1"/>
    <col min="6173" max="6177" width="10.1796875" style="1" customWidth="1"/>
    <col min="6178" max="6190" width="9.26953125" style="1" bestFit="1" customWidth="1"/>
    <col min="6191" max="6191" width="10.1796875" style="1" bestFit="1" customWidth="1"/>
    <col min="6192" max="6401" width="9.1796875" style="1"/>
    <col min="6402" max="6402" width="21.26953125" style="1" customWidth="1"/>
    <col min="6403" max="6410" width="9.1796875" style="1"/>
    <col min="6411" max="6411" width="10.54296875" style="1" customWidth="1"/>
    <col min="6412" max="6412" width="7.54296875" style="1" customWidth="1"/>
    <col min="6413" max="6413" width="10.453125" style="1" bestFit="1" customWidth="1"/>
    <col min="6414" max="6414" width="10.453125" style="1" customWidth="1"/>
    <col min="6415" max="6422" width="9.1796875" style="1"/>
    <col min="6423" max="6423" width="10.7265625" style="1" bestFit="1" customWidth="1"/>
    <col min="6424" max="6426" width="9.1796875" style="1"/>
    <col min="6427" max="6427" width="11.7265625" style="1" customWidth="1"/>
    <col min="6428" max="6428" width="10.1796875" style="1" bestFit="1" customWidth="1"/>
    <col min="6429" max="6433" width="10.1796875" style="1" customWidth="1"/>
    <col min="6434" max="6446" width="9.26953125" style="1" bestFit="1" customWidth="1"/>
    <col min="6447" max="6447" width="10.1796875" style="1" bestFit="1" customWidth="1"/>
    <col min="6448" max="6657" width="9.1796875" style="1"/>
    <col min="6658" max="6658" width="21.26953125" style="1" customWidth="1"/>
    <col min="6659" max="6666" width="9.1796875" style="1"/>
    <col min="6667" max="6667" width="10.54296875" style="1" customWidth="1"/>
    <col min="6668" max="6668" width="7.54296875" style="1" customWidth="1"/>
    <col min="6669" max="6669" width="10.453125" style="1" bestFit="1" customWidth="1"/>
    <col min="6670" max="6670" width="10.453125" style="1" customWidth="1"/>
    <col min="6671" max="6678" width="9.1796875" style="1"/>
    <col min="6679" max="6679" width="10.7265625" style="1" bestFit="1" customWidth="1"/>
    <col min="6680" max="6682" width="9.1796875" style="1"/>
    <col min="6683" max="6683" width="11.7265625" style="1" customWidth="1"/>
    <col min="6684" max="6684" width="10.1796875" style="1" bestFit="1" customWidth="1"/>
    <col min="6685" max="6689" width="10.1796875" style="1" customWidth="1"/>
    <col min="6690" max="6702" width="9.26953125" style="1" bestFit="1" customWidth="1"/>
    <col min="6703" max="6703" width="10.1796875" style="1" bestFit="1" customWidth="1"/>
    <col min="6704" max="6913" width="9.1796875" style="1"/>
    <col min="6914" max="6914" width="21.26953125" style="1" customWidth="1"/>
    <col min="6915" max="6922" width="9.1796875" style="1"/>
    <col min="6923" max="6923" width="10.54296875" style="1" customWidth="1"/>
    <col min="6924" max="6924" width="7.54296875" style="1" customWidth="1"/>
    <col min="6925" max="6925" width="10.453125" style="1" bestFit="1" customWidth="1"/>
    <col min="6926" max="6926" width="10.453125" style="1" customWidth="1"/>
    <col min="6927" max="6934" width="9.1796875" style="1"/>
    <col min="6935" max="6935" width="10.7265625" style="1" bestFit="1" customWidth="1"/>
    <col min="6936" max="6938" width="9.1796875" style="1"/>
    <col min="6939" max="6939" width="11.7265625" style="1" customWidth="1"/>
    <col min="6940" max="6940" width="10.1796875" style="1" bestFit="1" customWidth="1"/>
    <col min="6941" max="6945" width="10.1796875" style="1" customWidth="1"/>
    <col min="6946" max="6958" width="9.26953125" style="1" bestFit="1" customWidth="1"/>
    <col min="6959" max="6959" width="10.1796875" style="1" bestFit="1" customWidth="1"/>
    <col min="6960" max="7169" width="9.1796875" style="1"/>
    <col min="7170" max="7170" width="21.26953125" style="1" customWidth="1"/>
    <col min="7171" max="7178" width="9.1796875" style="1"/>
    <col min="7179" max="7179" width="10.54296875" style="1" customWidth="1"/>
    <col min="7180" max="7180" width="7.54296875" style="1" customWidth="1"/>
    <col min="7181" max="7181" width="10.453125" style="1" bestFit="1" customWidth="1"/>
    <col min="7182" max="7182" width="10.453125" style="1" customWidth="1"/>
    <col min="7183" max="7190" width="9.1796875" style="1"/>
    <col min="7191" max="7191" width="10.7265625" style="1" bestFit="1" customWidth="1"/>
    <col min="7192" max="7194" width="9.1796875" style="1"/>
    <col min="7195" max="7195" width="11.7265625" style="1" customWidth="1"/>
    <col min="7196" max="7196" width="10.1796875" style="1" bestFit="1" customWidth="1"/>
    <col min="7197" max="7201" width="10.1796875" style="1" customWidth="1"/>
    <col min="7202" max="7214" width="9.26953125" style="1" bestFit="1" customWidth="1"/>
    <col min="7215" max="7215" width="10.1796875" style="1" bestFit="1" customWidth="1"/>
    <col min="7216" max="7425" width="9.1796875" style="1"/>
    <col min="7426" max="7426" width="21.26953125" style="1" customWidth="1"/>
    <col min="7427" max="7434" width="9.1796875" style="1"/>
    <col min="7435" max="7435" width="10.54296875" style="1" customWidth="1"/>
    <col min="7436" max="7436" width="7.54296875" style="1" customWidth="1"/>
    <col min="7437" max="7437" width="10.453125" style="1" bestFit="1" customWidth="1"/>
    <col min="7438" max="7438" width="10.453125" style="1" customWidth="1"/>
    <col min="7439" max="7446" width="9.1796875" style="1"/>
    <col min="7447" max="7447" width="10.7265625" style="1" bestFit="1" customWidth="1"/>
    <col min="7448" max="7450" width="9.1796875" style="1"/>
    <col min="7451" max="7451" width="11.7265625" style="1" customWidth="1"/>
    <col min="7452" max="7452" width="10.1796875" style="1" bestFit="1" customWidth="1"/>
    <col min="7453" max="7457" width="10.1796875" style="1" customWidth="1"/>
    <col min="7458" max="7470" width="9.26953125" style="1" bestFit="1" customWidth="1"/>
    <col min="7471" max="7471" width="10.1796875" style="1" bestFit="1" customWidth="1"/>
    <col min="7472" max="7681" width="9.1796875" style="1"/>
    <col min="7682" max="7682" width="21.26953125" style="1" customWidth="1"/>
    <col min="7683" max="7690" width="9.1796875" style="1"/>
    <col min="7691" max="7691" width="10.54296875" style="1" customWidth="1"/>
    <col min="7692" max="7692" width="7.54296875" style="1" customWidth="1"/>
    <col min="7693" max="7693" width="10.453125" style="1" bestFit="1" customWidth="1"/>
    <col min="7694" max="7694" width="10.453125" style="1" customWidth="1"/>
    <col min="7695" max="7702" width="9.1796875" style="1"/>
    <col min="7703" max="7703" width="10.7265625" style="1" bestFit="1" customWidth="1"/>
    <col min="7704" max="7706" width="9.1796875" style="1"/>
    <col min="7707" max="7707" width="11.7265625" style="1" customWidth="1"/>
    <col min="7708" max="7708" width="10.1796875" style="1" bestFit="1" customWidth="1"/>
    <col min="7709" max="7713" width="10.1796875" style="1" customWidth="1"/>
    <col min="7714" max="7726" width="9.26953125" style="1" bestFit="1" customWidth="1"/>
    <col min="7727" max="7727" width="10.1796875" style="1" bestFit="1" customWidth="1"/>
    <col min="7728" max="7937" width="9.1796875" style="1"/>
    <col min="7938" max="7938" width="21.26953125" style="1" customWidth="1"/>
    <col min="7939" max="7946" width="9.1796875" style="1"/>
    <col min="7947" max="7947" width="10.54296875" style="1" customWidth="1"/>
    <col min="7948" max="7948" width="7.54296875" style="1" customWidth="1"/>
    <col min="7949" max="7949" width="10.453125" style="1" bestFit="1" customWidth="1"/>
    <col min="7950" max="7950" width="10.453125" style="1" customWidth="1"/>
    <col min="7951" max="7958" width="9.1796875" style="1"/>
    <col min="7959" max="7959" width="10.7265625" style="1" bestFit="1" customWidth="1"/>
    <col min="7960" max="7962" width="9.1796875" style="1"/>
    <col min="7963" max="7963" width="11.7265625" style="1" customWidth="1"/>
    <col min="7964" max="7964" width="10.1796875" style="1" bestFit="1" customWidth="1"/>
    <col min="7965" max="7969" width="10.1796875" style="1" customWidth="1"/>
    <col min="7970" max="7982" width="9.26953125" style="1" bestFit="1" customWidth="1"/>
    <col min="7983" max="7983" width="10.1796875" style="1" bestFit="1" customWidth="1"/>
    <col min="7984" max="8193" width="9.1796875" style="1"/>
    <col min="8194" max="8194" width="21.26953125" style="1" customWidth="1"/>
    <col min="8195" max="8202" width="9.1796875" style="1"/>
    <col min="8203" max="8203" width="10.54296875" style="1" customWidth="1"/>
    <col min="8204" max="8204" width="7.54296875" style="1" customWidth="1"/>
    <col min="8205" max="8205" width="10.453125" style="1" bestFit="1" customWidth="1"/>
    <col min="8206" max="8206" width="10.453125" style="1" customWidth="1"/>
    <col min="8207" max="8214" width="9.1796875" style="1"/>
    <col min="8215" max="8215" width="10.7265625" style="1" bestFit="1" customWidth="1"/>
    <col min="8216" max="8218" width="9.1796875" style="1"/>
    <col min="8219" max="8219" width="11.7265625" style="1" customWidth="1"/>
    <col min="8220" max="8220" width="10.1796875" style="1" bestFit="1" customWidth="1"/>
    <col min="8221" max="8225" width="10.1796875" style="1" customWidth="1"/>
    <col min="8226" max="8238" width="9.26953125" style="1" bestFit="1" customWidth="1"/>
    <col min="8239" max="8239" width="10.1796875" style="1" bestFit="1" customWidth="1"/>
    <col min="8240" max="8449" width="9.1796875" style="1"/>
    <col min="8450" max="8450" width="21.26953125" style="1" customWidth="1"/>
    <col min="8451" max="8458" width="9.1796875" style="1"/>
    <col min="8459" max="8459" width="10.54296875" style="1" customWidth="1"/>
    <col min="8460" max="8460" width="7.54296875" style="1" customWidth="1"/>
    <col min="8461" max="8461" width="10.453125" style="1" bestFit="1" customWidth="1"/>
    <col min="8462" max="8462" width="10.453125" style="1" customWidth="1"/>
    <col min="8463" max="8470" width="9.1796875" style="1"/>
    <col min="8471" max="8471" width="10.7265625" style="1" bestFit="1" customWidth="1"/>
    <col min="8472" max="8474" width="9.1796875" style="1"/>
    <col min="8475" max="8475" width="11.7265625" style="1" customWidth="1"/>
    <col min="8476" max="8476" width="10.1796875" style="1" bestFit="1" customWidth="1"/>
    <col min="8477" max="8481" width="10.1796875" style="1" customWidth="1"/>
    <col min="8482" max="8494" width="9.26953125" style="1" bestFit="1" customWidth="1"/>
    <col min="8495" max="8495" width="10.1796875" style="1" bestFit="1" customWidth="1"/>
    <col min="8496" max="8705" width="9.1796875" style="1"/>
    <col min="8706" max="8706" width="21.26953125" style="1" customWidth="1"/>
    <col min="8707" max="8714" width="9.1796875" style="1"/>
    <col min="8715" max="8715" width="10.54296875" style="1" customWidth="1"/>
    <col min="8716" max="8716" width="7.54296875" style="1" customWidth="1"/>
    <col min="8717" max="8717" width="10.453125" style="1" bestFit="1" customWidth="1"/>
    <col min="8718" max="8718" width="10.453125" style="1" customWidth="1"/>
    <col min="8719" max="8726" width="9.1796875" style="1"/>
    <col min="8727" max="8727" width="10.7265625" style="1" bestFit="1" customWidth="1"/>
    <col min="8728" max="8730" width="9.1796875" style="1"/>
    <col min="8731" max="8731" width="11.7265625" style="1" customWidth="1"/>
    <col min="8732" max="8732" width="10.1796875" style="1" bestFit="1" customWidth="1"/>
    <col min="8733" max="8737" width="10.1796875" style="1" customWidth="1"/>
    <col min="8738" max="8750" width="9.26953125" style="1" bestFit="1" customWidth="1"/>
    <col min="8751" max="8751" width="10.1796875" style="1" bestFit="1" customWidth="1"/>
    <col min="8752" max="8961" width="9.1796875" style="1"/>
    <col min="8962" max="8962" width="21.26953125" style="1" customWidth="1"/>
    <col min="8963" max="8970" width="9.1796875" style="1"/>
    <col min="8971" max="8971" width="10.54296875" style="1" customWidth="1"/>
    <col min="8972" max="8972" width="7.54296875" style="1" customWidth="1"/>
    <col min="8973" max="8973" width="10.453125" style="1" bestFit="1" customWidth="1"/>
    <col min="8974" max="8974" width="10.453125" style="1" customWidth="1"/>
    <col min="8975" max="8982" width="9.1796875" style="1"/>
    <col min="8983" max="8983" width="10.7265625" style="1" bestFit="1" customWidth="1"/>
    <col min="8984" max="8986" width="9.1796875" style="1"/>
    <col min="8987" max="8987" width="11.7265625" style="1" customWidth="1"/>
    <col min="8988" max="8988" width="10.1796875" style="1" bestFit="1" customWidth="1"/>
    <col min="8989" max="8993" width="10.1796875" style="1" customWidth="1"/>
    <col min="8994" max="9006" width="9.26953125" style="1" bestFit="1" customWidth="1"/>
    <col min="9007" max="9007" width="10.1796875" style="1" bestFit="1" customWidth="1"/>
    <col min="9008" max="9217" width="9.1796875" style="1"/>
    <col min="9218" max="9218" width="21.26953125" style="1" customWidth="1"/>
    <col min="9219" max="9226" width="9.1796875" style="1"/>
    <col min="9227" max="9227" width="10.54296875" style="1" customWidth="1"/>
    <col min="9228" max="9228" width="7.54296875" style="1" customWidth="1"/>
    <col min="9229" max="9229" width="10.453125" style="1" bestFit="1" customWidth="1"/>
    <col min="9230" max="9230" width="10.453125" style="1" customWidth="1"/>
    <col min="9231" max="9238" width="9.1796875" style="1"/>
    <col min="9239" max="9239" width="10.7265625" style="1" bestFit="1" customWidth="1"/>
    <col min="9240" max="9242" width="9.1796875" style="1"/>
    <col min="9243" max="9243" width="11.7265625" style="1" customWidth="1"/>
    <col min="9244" max="9244" width="10.1796875" style="1" bestFit="1" customWidth="1"/>
    <col min="9245" max="9249" width="10.1796875" style="1" customWidth="1"/>
    <col min="9250" max="9262" width="9.26953125" style="1" bestFit="1" customWidth="1"/>
    <col min="9263" max="9263" width="10.1796875" style="1" bestFit="1" customWidth="1"/>
    <col min="9264" max="9473" width="9.1796875" style="1"/>
    <col min="9474" max="9474" width="21.26953125" style="1" customWidth="1"/>
    <col min="9475" max="9482" width="9.1796875" style="1"/>
    <col min="9483" max="9483" width="10.54296875" style="1" customWidth="1"/>
    <col min="9484" max="9484" width="7.54296875" style="1" customWidth="1"/>
    <col min="9485" max="9485" width="10.453125" style="1" bestFit="1" customWidth="1"/>
    <col min="9486" max="9486" width="10.453125" style="1" customWidth="1"/>
    <col min="9487" max="9494" width="9.1796875" style="1"/>
    <col min="9495" max="9495" width="10.7265625" style="1" bestFit="1" customWidth="1"/>
    <col min="9496" max="9498" width="9.1796875" style="1"/>
    <col min="9499" max="9499" width="11.7265625" style="1" customWidth="1"/>
    <col min="9500" max="9500" width="10.1796875" style="1" bestFit="1" customWidth="1"/>
    <col min="9501" max="9505" width="10.1796875" style="1" customWidth="1"/>
    <col min="9506" max="9518" width="9.26953125" style="1" bestFit="1" customWidth="1"/>
    <col min="9519" max="9519" width="10.1796875" style="1" bestFit="1" customWidth="1"/>
    <col min="9520" max="9729" width="9.1796875" style="1"/>
    <col min="9730" max="9730" width="21.26953125" style="1" customWidth="1"/>
    <col min="9731" max="9738" width="9.1796875" style="1"/>
    <col min="9739" max="9739" width="10.54296875" style="1" customWidth="1"/>
    <col min="9740" max="9740" width="7.54296875" style="1" customWidth="1"/>
    <col min="9741" max="9741" width="10.453125" style="1" bestFit="1" customWidth="1"/>
    <col min="9742" max="9742" width="10.453125" style="1" customWidth="1"/>
    <col min="9743" max="9750" width="9.1796875" style="1"/>
    <col min="9751" max="9751" width="10.7265625" style="1" bestFit="1" customWidth="1"/>
    <col min="9752" max="9754" width="9.1796875" style="1"/>
    <col min="9755" max="9755" width="11.7265625" style="1" customWidth="1"/>
    <col min="9756" max="9756" width="10.1796875" style="1" bestFit="1" customWidth="1"/>
    <col min="9757" max="9761" width="10.1796875" style="1" customWidth="1"/>
    <col min="9762" max="9774" width="9.26953125" style="1" bestFit="1" customWidth="1"/>
    <col min="9775" max="9775" width="10.1796875" style="1" bestFit="1" customWidth="1"/>
    <col min="9776" max="9985" width="9.1796875" style="1"/>
    <col min="9986" max="9986" width="21.26953125" style="1" customWidth="1"/>
    <col min="9987" max="9994" width="9.1796875" style="1"/>
    <col min="9995" max="9995" width="10.54296875" style="1" customWidth="1"/>
    <col min="9996" max="9996" width="7.54296875" style="1" customWidth="1"/>
    <col min="9997" max="9997" width="10.453125" style="1" bestFit="1" customWidth="1"/>
    <col min="9998" max="9998" width="10.453125" style="1" customWidth="1"/>
    <col min="9999" max="10006" width="9.1796875" style="1"/>
    <col min="10007" max="10007" width="10.7265625" style="1" bestFit="1" customWidth="1"/>
    <col min="10008" max="10010" width="9.1796875" style="1"/>
    <col min="10011" max="10011" width="11.7265625" style="1" customWidth="1"/>
    <col min="10012" max="10012" width="10.1796875" style="1" bestFit="1" customWidth="1"/>
    <col min="10013" max="10017" width="10.1796875" style="1" customWidth="1"/>
    <col min="10018" max="10030" width="9.26953125" style="1" bestFit="1" customWidth="1"/>
    <col min="10031" max="10031" width="10.1796875" style="1" bestFit="1" customWidth="1"/>
    <col min="10032" max="10241" width="9.1796875" style="1"/>
    <col min="10242" max="10242" width="21.26953125" style="1" customWidth="1"/>
    <col min="10243" max="10250" width="9.1796875" style="1"/>
    <col min="10251" max="10251" width="10.54296875" style="1" customWidth="1"/>
    <col min="10252" max="10252" width="7.54296875" style="1" customWidth="1"/>
    <col min="10253" max="10253" width="10.453125" style="1" bestFit="1" customWidth="1"/>
    <col min="10254" max="10254" width="10.453125" style="1" customWidth="1"/>
    <col min="10255" max="10262" width="9.1796875" style="1"/>
    <col min="10263" max="10263" width="10.7265625" style="1" bestFit="1" customWidth="1"/>
    <col min="10264" max="10266" width="9.1796875" style="1"/>
    <col min="10267" max="10267" width="11.7265625" style="1" customWidth="1"/>
    <col min="10268" max="10268" width="10.1796875" style="1" bestFit="1" customWidth="1"/>
    <col min="10269" max="10273" width="10.1796875" style="1" customWidth="1"/>
    <col min="10274" max="10286" width="9.26953125" style="1" bestFit="1" customWidth="1"/>
    <col min="10287" max="10287" width="10.1796875" style="1" bestFit="1" customWidth="1"/>
    <col min="10288" max="10497" width="9.1796875" style="1"/>
    <col min="10498" max="10498" width="21.26953125" style="1" customWidth="1"/>
    <col min="10499" max="10506" width="9.1796875" style="1"/>
    <col min="10507" max="10507" width="10.54296875" style="1" customWidth="1"/>
    <col min="10508" max="10508" width="7.54296875" style="1" customWidth="1"/>
    <col min="10509" max="10509" width="10.453125" style="1" bestFit="1" customWidth="1"/>
    <col min="10510" max="10510" width="10.453125" style="1" customWidth="1"/>
    <col min="10511" max="10518" width="9.1796875" style="1"/>
    <col min="10519" max="10519" width="10.7265625" style="1" bestFit="1" customWidth="1"/>
    <col min="10520" max="10522" width="9.1796875" style="1"/>
    <col min="10523" max="10523" width="11.7265625" style="1" customWidth="1"/>
    <col min="10524" max="10524" width="10.1796875" style="1" bestFit="1" customWidth="1"/>
    <col min="10525" max="10529" width="10.1796875" style="1" customWidth="1"/>
    <col min="10530" max="10542" width="9.26953125" style="1" bestFit="1" customWidth="1"/>
    <col min="10543" max="10543" width="10.1796875" style="1" bestFit="1" customWidth="1"/>
    <col min="10544" max="10753" width="9.1796875" style="1"/>
    <col min="10754" max="10754" width="21.26953125" style="1" customWidth="1"/>
    <col min="10755" max="10762" width="9.1796875" style="1"/>
    <col min="10763" max="10763" width="10.54296875" style="1" customWidth="1"/>
    <col min="10764" max="10764" width="7.54296875" style="1" customWidth="1"/>
    <col min="10765" max="10765" width="10.453125" style="1" bestFit="1" customWidth="1"/>
    <col min="10766" max="10766" width="10.453125" style="1" customWidth="1"/>
    <col min="10767" max="10774" width="9.1796875" style="1"/>
    <col min="10775" max="10775" width="10.7265625" style="1" bestFit="1" customWidth="1"/>
    <col min="10776" max="10778" width="9.1796875" style="1"/>
    <col min="10779" max="10779" width="11.7265625" style="1" customWidth="1"/>
    <col min="10780" max="10780" width="10.1796875" style="1" bestFit="1" customWidth="1"/>
    <col min="10781" max="10785" width="10.1796875" style="1" customWidth="1"/>
    <col min="10786" max="10798" width="9.26953125" style="1" bestFit="1" customWidth="1"/>
    <col min="10799" max="10799" width="10.1796875" style="1" bestFit="1" customWidth="1"/>
    <col min="10800" max="11009" width="9.1796875" style="1"/>
    <col min="11010" max="11010" width="21.26953125" style="1" customWidth="1"/>
    <col min="11011" max="11018" width="9.1796875" style="1"/>
    <col min="11019" max="11019" width="10.54296875" style="1" customWidth="1"/>
    <col min="11020" max="11020" width="7.54296875" style="1" customWidth="1"/>
    <col min="11021" max="11021" width="10.453125" style="1" bestFit="1" customWidth="1"/>
    <col min="11022" max="11022" width="10.453125" style="1" customWidth="1"/>
    <col min="11023" max="11030" width="9.1796875" style="1"/>
    <col min="11031" max="11031" width="10.7265625" style="1" bestFit="1" customWidth="1"/>
    <col min="11032" max="11034" width="9.1796875" style="1"/>
    <col min="11035" max="11035" width="11.7265625" style="1" customWidth="1"/>
    <col min="11036" max="11036" width="10.1796875" style="1" bestFit="1" customWidth="1"/>
    <col min="11037" max="11041" width="10.1796875" style="1" customWidth="1"/>
    <col min="11042" max="11054" width="9.26953125" style="1" bestFit="1" customWidth="1"/>
    <col min="11055" max="11055" width="10.1796875" style="1" bestFit="1" customWidth="1"/>
    <col min="11056" max="11265" width="9.1796875" style="1"/>
    <col min="11266" max="11266" width="21.26953125" style="1" customWidth="1"/>
    <col min="11267" max="11274" width="9.1796875" style="1"/>
    <col min="11275" max="11275" width="10.54296875" style="1" customWidth="1"/>
    <col min="11276" max="11276" width="7.54296875" style="1" customWidth="1"/>
    <col min="11277" max="11277" width="10.453125" style="1" bestFit="1" customWidth="1"/>
    <col min="11278" max="11278" width="10.453125" style="1" customWidth="1"/>
    <col min="11279" max="11286" width="9.1796875" style="1"/>
    <col min="11287" max="11287" width="10.7265625" style="1" bestFit="1" customWidth="1"/>
    <col min="11288" max="11290" width="9.1796875" style="1"/>
    <col min="11291" max="11291" width="11.7265625" style="1" customWidth="1"/>
    <col min="11292" max="11292" width="10.1796875" style="1" bestFit="1" customWidth="1"/>
    <col min="11293" max="11297" width="10.1796875" style="1" customWidth="1"/>
    <col min="11298" max="11310" width="9.26953125" style="1" bestFit="1" customWidth="1"/>
    <col min="11311" max="11311" width="10.1796875" style="1" bestFit="1" customWidth="1"/>
    <col min="11312" max="11521" width="9.1796875" style="1"/>
    <col min="11522" max="11522" width="21.26953125" style="1" customWidth="1"/>
    <col min="11523" max="11530" width="9.1796875" style="1"/>
    <col min="11531" max="11531" width="10.54296875" style="1" customWidth="1"/>
    <col min="11532" max="11532" width="7.54296875" style="1" customWidth="1"/>
    <col min="11533" max="11533" width="10.453125" style="1" bestFit="1" customWidth="1"/>
    <col min="11534" max="11534" width="10.453125" style="1" customWidth="1"/>
    <col min="11535" max="11542" width="9.1796875" style="1"/>
    <col min="11543" max="11543" width="10.7265625" style="1" bestFit="1" customWidth="1"/>
    <col min="11544" max="11546" width="9.1796875" style="1"/>
    <col min="11547" max="11547" width="11.7265625" style="1" customWidth="1"/>
    <col min="11548" max="11548" width="10.1796875" style="1" bestFit="1" customWidth="1"/>
    <col min="11549" max="11553" width="10.1796875" style="1" customWidth="1"/>
    <col min="11554" max="11566" width="9.26953125" style="1" bestFit="1" customWidth="1"/>
    <col min="11567" max="11567" width="10.1796875" style="1" bestFit="1" customWidth="1"/>
    <col min="11568" max="11777" width="9.1796875" style="1"/>
    <col min="11778" max="11778" width="21.26953125" style="1" customWidth="1"/>
    <col min="11779" max="11786" width="9.1796875" style="1"/>
    <col min="11787" max="11787" width="10.54296875" style="1" customWidth="1"/>
    <col min="11788" max="11788" width="7.54296875" style="1" customWidth="1"/>
    <col min="11789" max="11789" width="10.453125" style="1" bestFit="1" customWidth="1"/>
    <col min="11790" max="11790" width="10.453125" style="1" customWidth="1"/>
    <col min="11791" max="11798" width="9.1796875" style="1"/>
    <col min="11799" max="11799" width="10.7265625" style="1" bestFit="1" customWidth="1"/>
    <col min="11800" max="11802" width="9.1796875" style="1"/>
    <col min="11803" max="11803" width="11.7265625" style="1" customWidth="1"/>
    <col min="11804" max="11804" width="10.1796875" style="1" bestFit="1" customWidth="1"/>
    <col min="11805" max="11809" width="10.1796875" style="1" customWidth="1"/>
    <col min="11810" max="11822" width="9.26953125" style="1" bestFit="1" customWidth="1"/>
    <col min="11823" max="11823" width="10.1796875" style="1" bestFit="1" customWidth="1"/>
    <col min="11824" max="12033" width="9.1796875" style="1"/>
    <col min="12034" max="12034" width="21.26953125" style="1" customWidth="1"/>
    <col min="12035" max="12042" width="9.1796875" style="1"/>
    <col min="12043" max="12043" width="10.54296875" style="1" customWidth="1"/>
    <col min="12044" max="12044" width="7.54296875" style="1" customWidth="1"/>
    <col min="12045" max="12045" width="10.453125" style="1" bestFit="1" customWidth="1"/>
    <col min="12046" max="12046" width="10.453125" style="1" customWidth="1"/>
    <col min="12047" max="12054" width="9.1796875" style="1"/>
    <col min="12055" max="12055" width="10.7265625" style="1" bestFit="1" customWidth="1"/>
    <col min="12056" max="12058" width="9.1796875" style="1"/>
    <col min="12059" max="12059" width="11.7265625" style="1" customWidth="1"/>
    <col min="12060" max="12060" width="10.1796875" style="1" bestFit="1" customWidth="1"/>
    <col min="12061" max="12065" width="10.1796875" style="1" customWidth="1"/>
    <col min="12066" max="12078" width="9.26953125" style="1" bestFit="1" customWidth="1"/>
    <col min="12079" max="12079" width="10.1796875" style="1" bestFit="1" customWidth="1"/>
    <col min="12080" max="12289" width="9.1796875" style="1"/>
    <col min="12290" max="12290" width="21.26953125" style="1" customWidth="1"/>
    <col min="12291" max="12298" width="9.1796875" style="1"/>
    <col min="12299" max="12299" width="10.54296875" style="1" customWidth="1"/>
    <col min="12300" max="12300" width="7.54296875" style="1" customWidth="1"/>
    <col min="12301" max="12301" width="10.453125" style="1" bestFit="1" customWidth="1"/>
    <col min="12302" max="12302" width="10.453125" style="1" customWidth="1"/>
    <col min="12303" max="12310" width="9.1796875" style="1"/>
    <col min="12311" max="12311" width="10.7265625" style="1" bestFit="1" customWidth="1"/>
    <col min="12312" max="12314" width="9.1796875" style="1"/>
    <col min="12315" max="12315" width="11.7265625" style="1" customWidth="1"/>
    <col min="12316" max="12316" width="10.1796875" style="1" bestFit="1" customWidth="1"/>
    <col min="12317" max="12321" width="10.1796875" style="1" customWidth="1"/>
    <col min="12322" max="12334" width="9.26953125" style="1" bestFit="1" customWidth="1"/>
    <col min="12335" max="12335" width="10.1796875" style="1" bestFit="1" customWidth="1"/>
    <col min="12336" max="12545" width="9.1796875" style="1"/>
    <col min="12546" max="12546" width="21.26953125" style="1" customWidth="1"/>
    <col min="12547" max="12554" width="9.1796875" style="1"/>
    <col min="12555" max="12555" width="10.54296875" style="1" customWidth="1"/>
    <col min="12556" max="12556" width="7.54296875" style="1" customWidth="1"/>
    <col min="12557" max="12557" width="10.453125" style="1" bestFit="1" customWidth="1"/>
    <col min="12558" max="12558" width="10.453125" style="1" customWidth="1"/>
    <col min="12559" max="12566" width="9.1796875" style="1"/>
    <col min="12567" max="12567" width="10.7265625" style="1" bestFit="1" customWidth="1"/>
    <col min="12568" max="12570" width="9.1796875" style="1"/>
    <col min="12571" max="12571" width="11.7265625" style="1" customWidth="1"/>
    <col min="12572" max="12572" width="10.1796875" style="1" bestFit="1" customWidth="1"/>
    <col min="12573" max="12577" width="10.1796875" style="1" customWidth="1"/>
    <col min="12578" max="12590" width="9.26953125" style="1" bestFit="1" customWidth="1"/>
    <col min="12591" max="12591" width="10.1796875" style="1" bestFit="1" customWidth="1"/>
    <col min="12592" max="12801" width="9.1796875" style="1"/>
    <col min="12802" max="12802" width="21.26953125" style="1" customWidth="1"/>
    <col min="12803" max="12810" width="9.1796875" style="1"/>
    <col min="12811" max="12811" width="10.54296875" style="1" customWidth="1"/>
    <col min="12812" max="12812" width="7.54296875" style="1" customWidth="1"/>
    <col min="12813" max="12813" width="10.453125" style="1" bestFit="1" customWidth="1"/>
    <col min="12814" max="12814" width="10.453125" style="1" customWidth="1"/>
    <col min="12815" max="12822" width="9.1796875" style="1"/>
    <col min="12823" max="12823" width="10.7265625" style="1" bestFit="1" customWidth="1"/>
    <col min="12824" max="12826" width="9.1796875" style="1"/>
    <col min="12827" max="12827" width="11.7265625" style="1" customWidth="1"/>
    <col min="12828" max="12828" width="10.1796875" style="1" bestFit="1" customWidth="1"/>
    <col min="12829" max="12833" width="10.1796875" style="1" customWidth="1"/>
    <col min="12834" max="12846" width="9.26953125" style="1" bestFit="1" customWidth="1"/>
    <col min="12847" max="12847" width="10.1796875" style="1" bestFit="1" customWidth="1"/>
    <col min="12848" max="13057" width="9.1796875" style="1"/>
    <col min="13058" max="13058" width="21.26953125" style="1" customWidth="1"/>
    <col min="13059" max="13066" width="9.1796875" style="1"/>
    <col min="13067" max="13067" width="10.54296875" style="1" customWidth="1"/>
    <col min="13068" max="13068" width="7.54296875" style="1" customWidth="1"/>
    <col min="13069" max="13069" width="10.453125" style="1" bestFit="1" customWidth="1"/>
    <col min="13070" max="13070" width="10.453125" style="1" customWidth="1"/>
    <col min="13071" max="13078" width="9.1796875" style="1"/>
    <col min="13079" max="13079" width="10.7265625" style="1" bestFit="1" customWidth="1"/>
    <col min="13080" max="13082" width="9.1796875" style="1"/>
    <col min="13083" max="13083" width="11.7265625" style="1" customWidth="1"/>
    <col min="13084" max="13084" width="10.1796875" style="1" bestFit="1" customWidth="1"/>
    <col min="13085" max="13089" width="10.1796875" style="1" customWidth="1"/>
    <col min="13090" max="13102" width="9.26953125" style="1" bestFit="1" customWidth="1"/>
    <col min="13103" max="13103" width="10.1796875" style="1" bestFit="1" customWidth="1"/>
    <col min="13104" max="13313" width="9.1796875" style="1"/>
    <col min="13314" max="13314" width="21.26953125" style="1" customWidth="1"/>
    <col min="13315" max="13322" width="9.1796875" style="1"/>
    <col min="13323" max="13323" width="10.54296875" style="1" customWidth="1"/>
    <col min="13324" max="13324" width="7.54296875" style="1" customWidth="1"/>
    <col min="13325" max="13325" width="10.453125" style="1" bestFit="1" customWidth="1"/>
    <col min="13326" max="13326" width="10.453125" style="1" customWidth="1"/>
    <col min="13327" max="13334" width="9.1796875" style="1"/>
    <col min="13335" max="13335" width="10.7265625" style="1" bestFit="1" customWidth="1"/>
    <col min="13336" max="13338" width="9.1796875" style="1"/>
    <col min="13339" max="13339" width="11.7265625" style="1" customWidth="1"/>
    <col min="13340" max="13340" width="10.1796875" style="1" bestFit="1" customWidth="1"/>
    <col min="13341" max="13345" width="10.1796875" style="1" customWidth="1"/>
    <col min="13346" max="13358" width="9.26953125" style="1" bestFit="1" customWidth="1"/>
    <col min="13359" max="13359" width="10.1796875" style="1" bestFit="1" customWidth="1"/>
    <col min="13360" max="13569" width="9.1796875" style="1"/>
    <col min="13570" max="13570" width="21.26953125" style="1" customWidth="1"/>
    <col min="13571" max="13578" width="9.1796875" style="1"/>
    <col min="13579" max="13579" width="10.54296875" style="1" customWidth="1"/>
    <col min="13580" max="13580" width="7.54296875" style="1" customWidth="1"/>
    <col min="13581" max="13581" width="10.453125" style="1" bestFit="1" customWidth="1"/>
    <col min="13582" max="13582" width="10.453125" style="1" customWidth="1"/>
    <col min="13583" max="13590" width="9.1796875" style="1"/>
    <col min="13591" max="13591" width="10.7265625" style="1" bestFit="1" customWidth="1"/>
    <col min="13592" max="13594" width="9.1796875" style="1"/>
    <col min="13595" max="13595" width="11.7265625" style="1" customWidth="1"/>
    <col min="13596" max="13596" width="10.1796875" style="1" bestFit="1" customWidth="1"/>
    <col min="13597" max="13601" width="10.1796875" style="1" customWidth="1"/>
    <col min="13602" max="13614" width="9.26953125" style="1" bestFit="1" customWidth="1"/>
    <col min="13615" max="13615" width="10.1796875" style="1" bestFit="1" customWidth="1"/>
    <col min="13616" max="13825" width="9.1796875" style="1"/>
    <col min="13826" max="13826" width="21.26953125" style="1" customWidth="1"/>
    <col min="13827" max="13834" width="9.1796875" style="1"/>
    <col min="13835" max="13835" width="10.54296875" style="1" customWidth="1"/>
    <col min="13836" max="13836" width="7.54296875" style="1" customWidth="1"/>
    <col min="13837" max="13837" width="10.453125" style="1" bestFit="1" customWidth="1"/>
    <col min="13838" max="13838" width="10.453125" style="1" customWidth="1"/>
    <col min="13839" max="13846" width="9.1796875" style="1"/>
    <col min="13847" max="13847" width="10.7265625" style="1" bestFit="1" customWidth="1"/>
    <col min="13848" max="13850" width="9.1796875" style="1"/>
    <col min="13851" max="13851" width="11.7265625" style="1" customWidth="1"/>
    <col min="13852" max="13852" width="10.1796875" style="1" bestFit="1" customWidth="1"/>
    <col min="13853" max="13857" width="10.1796875" style="1" customWidth="1"/>
    <col min="13858" max="13870" width="9.26953125" style="1" bestFit="1" customWidth="1"/>
    <col min="13871" max="13871" width="10.1796875" style="1" bestFit="1" customWidth="1"/>
    <col min="13872" max="14081" width="9.1796875" style="1"/>
    <col min="14082" max="14082" width="21.26953125" style="1" customWidth="1"/>
    <col min="14083" max="14090" width="9.1796875" style="1"/>
    <col min="14091" max="14091" width="10.54296875" style="1" customWidth="1"/>
    <col min="14092" max="14092" width="7.54296875" style="1" customWidth="1"/>
    <col min="14093" max="14093" width="10.453125" style="1" bestFit="1" customWidth="1"/>
    <col min="14094" max="14094" width="10.453125" style="1" customWidth="1"/>
    <col min="14095" max="14102" width="9.1796875" style="1"/>
    <col min="14103" max="14103" width="10.7265625" style="1" bestFit="1" customWidth="1"/>
    <col min="14104" max="14106" width="9.1796875" style="1"/>
    <col min="14107" max="14107" width="11.7265625" style="1" customWidth="1"/>
    <col min="14108" max="14108" width="10.1796875" style="1" bestFit="1" customWidth="1"/>
    <col min="14109" max="14113" width="10.1796875" style="1" customWidth="1"/>
    <col min="14114" max="14126" width="9.26953125" style="1" bestFit="1" customWidth="1"/>
    <col min="14127" max="14127" width="10.1796875" style="1" bestFit="1" customWidth="1"/>
    <col min="14128" max="14337" width="9.1796875" style="1"/>
    <col min="14338" max="14338" width="21.26953125" style="1" customWidth="1"/>
    <col min="14339" max="14346" width="9.1796875" style="1"/>
    <col min="14347" max="14347" width="10.54296875" style="1" customWidth="1"/>
    <col min="14348" max="14348" width="7.54296875" style="1" customWidth="1"/>
    <col min="14349" max="14349" width="10.453125" style="1" bestFit="1" customWidth="1"/>
    <col min="14350" max="14350" width="10.453125" style="1" customWidth="1"/>
    <col min="14351" max="14358" width="9.1796875" style="1"/>
    <col min="14359" max="14359" width="10.7265625" style="1" bestFit="1" customWidth="1"/>
    <col min="14360" max="14362" width="9.1796875" style="1"/>
    <col min="14363" max="14363" width="11.7265625" style="1" customWidth="1"/>
    <col min="14364" max="14364" width="10.1796875" style="1" bestFit="1" customWidth="1"/>
    <col min="14365" max="14369" width="10.1796875" style="1" customWidth="1"/>
    <col min="14370" max="14382" width="9.26953125" style="1" bestFit="1" customWidth="1"/>
    <col min="14383" max="14383" width="10.1796875" style="1" bestFit="1" customWidth="1"/>
    <col min="14384" max="14593" width="9.1796875" style="1"/>
    <col min="14594" max="14594" width="21.26953125" style="1" customWidth="1"/>
    <col min="14595" max="14602" width="9.1796875" style="1"/>
    <col min="14603" max="14603" width="10.54296875" style="1" customWidth="1"/>
    <col min="14604" max="14604" width="7.54296875" style="1" customWidth="1"/>
    <col min="14605" max="14605" width="10.453125" style="1" bestFit="1" customWidth="1"/>
    <col min="14606" max="14606" width="10.453125" style="1" customWidth="1"/>
    <col min="14607" max="14614" width="9.1796875" style="1"/>
    <col min="14615" max="14615" width="10.7265625" style="1" bestFit="1" customWidth="1"/>
    <col min="14616" max="14618" width="9.1796875" style="1"/>
    <col min="14619" max="14619" width="11.7265625" style="1" customWidth="1"/>
    <col min="14620" max="14620" width="10.1796875" style="1" bestFit="1" customWidth="1"/>
    <col min="14621" max="14625" width="10.1796875" style="1" customWidth="1"/>
    <col min="14626" max="14638" width="9.26953125" style="1" bestFit="1" customWidth="1"/>
    <col min="14639" max="14639" width="10.1796875" style="1" bestFit="1" customWidth="1"/>
    <col min="14640" max="14849" width="9.1796875" style="1"/>
    <col min="14850" max="14850" width="21.26953125" style="1" customWidth="1"/>
    <col min="14851" max="14858" width="9.1796875" style="1"/>
    <col min="14859" max="14859" width="10.54296875" style="1" customWidth="1"/>
    <col min="14860" max="14860" width="7.54296875" style="1" customWidth="1"/>
    <col min="14861" max="14861" width="10.453125" style="1" bestFit="1" customWidth="1"/>
    <col min="14862" max="14862" width="10.453125" style="1" customWidth="1"/>
    <col min="14863" max="14870" width="9.1796875" style="1"/>
    <col min="14871" max="14871" width="10.7265625" style="1" bestFit="1" customWidth="1"/>
    <col min="14872" max="14874" width="9.1796875" style="1"/>
    <col min="14875" max="14875" width="11.7265625" style="1" customWidth="1"/>
    <col min="14876" max="14876" width="10.1796875" style="1" bestFit="1" customWidth="1"/>
    <col min="14877" max="14881" width="10.1796875" style="1" customWidth="1"/>
    <col min="14882" max="14894" width="9.26953125" style="1" bestFit="1" customWidth="1"/>
    <col min="14895" max="14895" width="10.1796875" style="1" bestFit="1" customWidth="1"/>
    <col min="14896" max="15105" width="9.1796875" style="1"/>
    <col min="15106" max="15106" width="21.26953125" style="1" customWidth="1"/>
    <col min="15107" max="15114" width="9.1796875" style="1"/>
    <col min="15115" max="15115" width="10.54296875" style="1" customWidth="1"/>
    <col min="15116" max="15116" width="7.54296875" style="1" customWidth="1"/>
    <col min="15117" max="15117" width="10.453125" style="1" bestFit="1" customWidth="1"/>
    <col min="15118" max="15118" width="10.453125" style="1" customWidth="1"/>
    <col min="15119" max="15126" width="9.1796875" style="1"/>
    <col min="15127" max="15127" width="10.7265625" style="1" bestFit="1" customWidth="1"/>
    <col min="15128" max="15130" width="9.1796875" style="1"/>
    <col min="15131" max="15131" width="11.7265625" style="1" customWidth="1"/>
    <col min="15132" max="15132" width="10.1796875" style="1" bestFit="1" customWidth="1"/>
    <col min="15133" max="15137" width="10.1796875" style="1" customWidth="1"/>
    <col min="15138" max="15150" width="9.26953125" style="1" bestFit="1" customWidth="1"/>
    <col min="15151" max="15151" width="10.1796875" style="1" bestFit="1" customWidth="1"/>
    <col min="15152" max="15361" width="9.1796875" style="1"/>
    <col min="15362" max="15362" width="21.26953125" style="1" customWidth="1"/>
    <col min="15363" max="15370" width="9.1796875" style="1"/>
    <col min="15371" max="15371" width="10.54296875" style="1" customWidth="1"/>
    <col min="15372" max="15372" width="7.54296875" style="1" customWidth="1"/>
    <col min="15373" max="15373" width="10.453125" style="1" bestFit="1" customWidth="1"/>
    <col min="15374" max="15374" width="10.453125" style="1" customWidth="1"/>
    <col min="15375" max="15382" width="9.1796875" style="1"/>
    <col min="15383" max="15383" width="10.7265625" style="1" bestFit="1" customWidth="1"/>
    <col min="15384" max="15386" width="9.1796875" style="1"/>
    <col min="15387" max="15387" width="11.7265625" style="1" customWidth="1"/>
    <col min="15388" max="15388" width="10.1796875" style="1" bestFit="1" customWidth="1"/>
    <col min="15389" max="15393" width="10.1796875" style="1" customWidth="1"/>
    <col min="15394" max="15406" width="9.26953125" style="1" bestFit="1" customWidth="1"/>
    <col min="15407" max="15407" width="10.1796875" style="1" bestFit="1" customWidth="1"/>
    <col min="15408" max="15617" width="9.1796875" style="1"/>
    <col min="15618" max="15618" width="21.26953125" style="1" customWidth="1"/>
    <col min="15619" max="15626" width="9.1796875" style="1"/>
    <col min="15627" max="15627" width="10.54296875" style="1" customWidth="1"/>
    <col min="15628" max="15628" width="7.54296875" style="1" customWidth="1"/>
    <col min="15629" max="15629" width="10.453125" style="1" bestFit="1" customWidth="1"/>
    <col min="15630" max="15630" width="10.453125" style="1" customWidth="1"/>
    <col min="15631" max="15638" width="9.1796875" style="1"/>
    <col min="15639" max="15639" width="10.7265625" style="1" bestFit="1" customWidth="1"/>
    <col min="15640" max="15642" width="9.1796875" style="1"/>
    <col min="15643" max="15643" width="11.7265625" style="1" customWidth="1"/>
    <col min="15644" max="15644" width="10.1796875" style="1" bestFit="1" customWidth="1"/>
    <col min="15645" max="15649" width="10.1796875" style="1" customWidth="1"/>
    <col min="15650" max="15662" width="9.26953125" style="1" bestFit="1" customWidth="1"/>
    <col min="15663" max="15663" width="10.1796875" style="1" bestFit="1" customWidth="1"/>
    <col min="15664" max="15873" width="9.1796875" style="1"/>
    <col min="15874" max="15874" width="21.26953125" style="1" customWidth="1"/>
    <col min="15875" max="15882" width="9.1796875" style="1"/>
    <col min="15883" max="15883" width="10.54296875" style="1" customWidth="1"/>
    <col min="15884" max="15884" width="7.54296875" style="1" customWidth="1"/>
    <col min="15885" max="15885" width="10.453125" style="1" bestFit="1" customWidth="1"/>
    <col min="15886" max="15886" width="10.453125" style="1" customWidth="1"/>
    <col min="15887" max="15894" width="9.1796875" style="1"/>
    <col min="15895" max="15895" width="10.7265625" style="1" bestFit="1" customWidth="1"/>
    <col min="15896" max="15898" width="9.1796875" style="1"/>
    <col min="15899" max="15899" width="11.7265625" style="1" customWidth="1"/>
    <col min="15900" max="15900" width="10.1796875" style="1" bestFit="1" customWidth="1"/>
    <col min="15901" max="15905" width="10.1796875" style="1" customWidth="1"/>
    <col min="15906" max="15918" width="9.26953125" style="1" bestFit="1" customWidth="1"/>
    <col min="15919" max="15919" width="10.1796875" style="1" bestFit="1" customWidth="1"/>
    <col min="15920" max="16129" width="9.1796875" style="1"/>
    <col min="16130" max="16130" width="21.26953125" style="1" customWidth="1"/>
    <col min="16131" max="16138" width="9.1796875" style="1"/>
    <col min="16139" max="16139" width="10.54296875" style="1" customWidth="1"/>
    <col min="16140" max="16140" width="7.54296875" style="1" customWidth="1"/>
    <col min="16141" max="16141" width="10.453125" style="1" bestFit="1" customWidth="1"/>
    <col min="16142" max="16142" width="10.453125" style="1" customWidth="1"/>
    <col min="16143" max="16150" width="9.1796875" style="1"/>
    <col min="16151" max="16151" width="10.7265625" style="1" bestFit="1" customWidth="1"/>
    <col min="16152" max="16154" width="9.1796875" style="1"/>
    <col min="16155" max="16155" width="11.7265625" style="1" customWidth="1"/>
    <col min="16156" max="16156" width="10.1796875" style="1" bestFit="1" customWidth="1"/>
    <col min="16157" max="16161" width="10.1796875" style="1" customWidth="1"/>
    <col min="16162" max="16174" width="9.26953125" style="1" bestFit="1" customWidth="1"/>
    <col min="16175" max="16175" width="10.1796875" style="1" bestFit="1" customWidth="1"/>
    <col min="16176" max="16384" width="9.1796875" style="1"/>
  </cols>
  <sheetData>
    <row r="1" spans="1:47" x14ac:dyDescent="0.25">
      <c r="AU1" s="2" t="s">
        <v>0</v>
      </c>
    </row>
    <row r="2" spans="1:47" ht="13" x14ac:dyDescent="0.3">
      <c r="A2" s="3"/>
      <c r="AA2" s="2" t="s">
        <v>1</v>
      </c>
      <c r="AC2" s="4">
        <f>SUM(AC10:AC64)</f>
        <v>5587709.71</v>
      </c>
      <c r="AD2" s="4">
        <f>SUM(AD10:AD64)</f>
        <v>8848411.5999999996</v>
      </c>
      <c r="AE2" s="4">
        <f>SUM(AE10:AE64)</f>
        <v>4665214.03</v>
      </c>
      <c r="AF2" s="4">
        <f>SUM(AF10:AF64)</f>
        <v>2497376.4800000004</v>
      </c>
      <c r="AG2" s="4">
        <f>SUM(AG10:AG64)</f>
        <v>104542.28000000001</v>
      </c>
      <c r="AH2" s="4">
        <f t="shared" ref="AH2:AT2" si="0">SUM(AH10:AH100)</f>
        <v>429529.56</v>
      </c>
      <c r="AI2" s="4">
        <f t="shared" si="0"/>
        <v>562353.93999999994</v>
      </c>
      <c r="AJ2" s="4">
        <f t="shared" si="0"/>
        <v>2500</v>
      </c>
      <c r="AK2" s="4">
        <f t="shared" si="0"/>
        <v>505049.1</v>
      </c>
      <c r="AL2" s="4">
        <f t="shared" si="0"/>
        <v>103611</v>
      </c>
      <c r="AM2" s="4">
        <f t="shared" si="0"/>
        <v>934483</v>
      </c>
      <c r="AN2" s="4">
        <f t="shared" si="0"/>
        <v>716523.6</v>
      </c>
      <c r="AO2" s="4">
        <f t="shared" si="0"/>
        <v>1489615.1</v>
      </c>
      <c r="AP2" s="4">
        <f t="shared" si="0"/>
        <v>339546.3</v>
      </c>
      <c r="AQ2" s="4">
        <f t="shared" si="0"/>
        <v>257731.5</v>
      </c>
      <c r="AR2" s="4">
        <f t="shared" si="0"/>
        <v>1015796</v>
      </c>
      <c r="AS2" s="4">
        <f t="shared" si="0"/>
        <v>316446</v>
      </c>
      <c r="AT2" s="4">
        <f t="shared" si="0"/>
        <v>331890.8</v>
      </c>
      <c r="AU2" s="4"/>
    </row>
    <row r="3" spans="1:47" ht="13" x14ac:dyDescent="0.3">
      <c r="A3" s="3"/>
      <c r="AB3" s="4">
        <f>SUM(AB10:AB100)</f>
        <v>21877554.100000001</v>
      </c>
      <c r="AC3" s="4"/>
      <c r="AD3" s="4"/>
      <c r="AE3" s="4"/>
      <c r="AF3" s="4"/>
      <c r="AG3" s="4"/>
      <c r="AH3" s="12">
        <f>AH2+AI2</f>
        <v>991883.5</v>
      </c>
      <c r="AI3" s="4"/>
      <c r="AJ3" s="12">
        <f>AJ2+AK2+AL2+AM2</f>
        <v>1545643.1</v>
      </c>
      <c r="AK3" s="4"/>
      <c r="AL3" s="4"/>
      <c r="AM3" s="4"/>
      <c r="AN3" s="12">
        <f>AN2</f>
        <v>716523.6</v>
      </c>
      <c r="AO3" s="12">
        <f>AO2</f>
        <v>1489615.1</v>
      </c>
      <c r="AP3" s="4"/>
      <c r="AQ3" s="4"/>
      <c r="AR3" s="4"/>
      <c r="AS3" s="4"/>
      <c r="AT3" s="4"/>
      <c r="AU3" s="4"/>
    </row>
    <row r="4" spans="1:47" ht="13" x14ac:dyDescent="0.3">
      <c r="A4" s="3"/>
      <c r="AA4" s="2" t="s">
        <v>0</v>
      </c>
      <c r="AB4" s="4">
        <f>AB3</f>
        <v>21877554.100000001</v>
      </c>
      <c r="AC4" s="4"/>
      <c r="AD4" s="4"/>
      <c r="AE4" s="4"/>
      <c r="AF4" s="4"/>
      <c r="AG4" s="4"/>
      <c r="AH4" s="4">
        <f t="shared" ref="AH4:AM4" si="1">AH2</f>
        <v>429529.56</v>
      </c>
      <c r="AI4" s="4">
        <f t="shared" si="1"/>
        <v>562353.93999999994</v>
      </c>
      <c r="AJ4" s="4">
        <f t="shared" si="1"/>
        <v>2500</v>
      </c>
      <c r="AK4" s="4">
        <f t="shared" si="1"/>
        <v>505049.1</v>
      </c>
      <c r="AL4" s="4">
        <f t="shared" si="1"/>
        <v>103611</v>
      </c>
      <c r="AM4" s="4">
        <f t="shared" si="1"/>
        <v>934483</v>
      </c>
      <c r="AN4" s="4">
        <f>AN2</f>
        <v>716523.6</v>
      </c>
      <c r="AO4" s="4">
        <f t="shared" ref="AO4:AT4" si="2">AO2</f>
        <v>1489615.1</v>
      </c>
      <c r="AP4" s="4">
        <f t="shared" si="2"/>
        <v>339546.3</v>
      </c>
      <c r="AQ4" s="4">
        <f t="shared" si="2"/>
        <v>257731.5</v>
      </c>
      <c r="AR4" s="4">
        <f t="shared" si="2"/>
        <v>1015796</v>
      </c>
      <c r="AS4" s="4">
        <f t="shared" si="2"/>
        <v>316446</v>
      </c>
      <c r="AT4" s="4">
        <f t="shared" si="2"/>
        <v>331890.8</v>
      </c>
      <c r="AU4" s="4">
        <f>SUM(AB4:AT4)</f>
        <v>28882630.000000007</v>
      </c>
    </row>
    <row r="5" spans="1:47" ht="13" x14ac:dyDescent="0.3">
      <c r="A5" s="3"/>
      <c r="AA5" s="2" t="s">
        <v>2</v>
      </c>
      <c r="AB5" s="5">
        <f>AB4/$AU$4</f>
        <v>0.75746405711668208</v>
      </c>
      <c r="AC5" s="5"/>
      <c r="AD5" s="5"/>
      <c r="AE5" s="5"/>
      <c r="AF5" s="5"/>
      <c r="AG5" s="5"/>
      <c r="AH5" s="5">
        <f t="shared" ref="AH5:AT5" si="3">AH4/$AU$4</f>
        <v>1.4871552902211463E-2</v>
      </c>
      <c r="AI5" s="5">
        <f t="shared" si="3"/>
        <v>1.9470316241976572E-2</v>
      </c>
      <c r="AJ5" s="5">
        <f t="shared" si="3"/>
        <v>8.6557214491893544E-5</v>
      </c>
      <c r="AK5" s="5">
        <f t="shared" si="3"/>
        <v>1.7486257311055117E-2</v>
      </c>
      <c r="AL5" s="5">
        <f t="shared" si="3"/>
        <v>3.587311820287833E-3</v>
      </c>
      <c r="AM5" s="5">
        <f t="shared" si="3"/>
        <v>3.2354498188011262E-2</v>
      </c>
      <c r="AN5" s="5">
        <f t="shared" si="3"/>
        <v>2.4808114773481493E-2</v>
      </c>
      <c r="AO5" s="5">
        <f t="shared" si="3"/>
        <v>5.1574773488425388E-2</v>
      </c>
      <c r="AP5" s="5">
        <f t="shared" si="3"/>
        <v>1.1756072767611533E-2</v>
      </c>
      <c r="AQ5" s="5">
        <f t="shared" si="3"/>
        <v>8.9234082907269849E-3</v>
      </c>
      <c r="AR5" s="5">
        <f t="shared" si="3"/>
        <v>3.5169788900803002E-2</v>
      </c>
      <c r="AS5" s="5">
        <f t="shared" si="3"/>
        <v>1.0956273718840698E-2</v>
      </c>
      <c r="AT5" s="5">
        <f t="shared" si="3"/>
        <v>1.1491017265394457E-2</v>
      </c>
      <c r="AU5" s="6"/>
    </row>
    <row r="6" spans="1:47" ht="13" x14ac:dyDescent="0.3">
      <c r="A6" s="3"/>
      <c r="AA6" s="2"/>
    </row>
    <row r="7" spans="1:47" ht="18" x14ac:dyDescent="0.4">
      <c r="A7" s="3" t="s">
        <v>3</v>
      </c>
      <c r="J7" s="111" t="s">
        <v>4</v>
      </c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</row>
    <row r="8" spans="1:47" ht="13" x14ac:dyDescent="0.3">
      <c r="K8" s="112" t="s">
        <v>5</v>
      </c>
      <c r="L8" s="112"/>
      <c r="M8" s="112" t="s">
        <v>6</v>
      </c>
      <c r="N8" s="112"/>
      <c r="O8" s="112"/>
      <c r="P8" s="112"/>
      <c r="Q8" s="112"/>
      <c r="AH8" s="112"/>
      <c r="AI8" s="112"/>
      <c r="AJ8" s="112"/>
      <c r="AK8" s="112"/>
      <c r="AL8" s="112"/>
      <c r="AM8" s="112"/>
    </row>
    <row r="9" spans="1:47" ht="13" x14ac:dyDescent="0.3">
      <c r="B9" s="8" t="s">
        <v>7</v>
      </c>
      <c r="C9" s="7" t="s">
        <v>8</v>
      </c>
      <c r="D9" s="7" t="s">
        <v>9</v>
      </c>
      <c r="E9" s="7" t="s">
        <v>10</v>
      </c>
      <c r="F9" s="7" t="s">
        <v>11</v>
      </c>
      <c r="G9" s="7" t="s">
        <v>12</v>
      </c>
      <c r="H9" s="7" t="s">
        <v>13</v>
      </c>
      <c r="I9" s="7" t="s">
        <v>14</v>
      </c>
      <c r="J9" s="7" t="s">
        <v>15</v>
      </c>
      <c r="K9" s="7" t="s">
        <v>16</v>
      </c>
      <c r="L9" s="7" t="s">
        <v>17</v>
      </c>
      <c r="M9" s="7" t="s">
        <v>18</v>
      </c>
      <c r="N9" s="7" t="s">
        <v>19</v>
      </c>
      <c r="O9" s="7" t="s">
        <v>20</v>
      </c>
      <c r="P9" s="7" t="s">
        <v>21</v>
      </c>
      <c r="Q9" s="7" t="s">
        <v>22</v>
      </c>
      <c r="R9" s="7" t="s">
        <v>23</v>
      </c>
      <c r="S9" s="7" t="s">
        <v>24</v>
      </c>
      <c r="T9" s="7" t="s">
        <v>25</v>
      </c>
      <c r="U9" s="7" t="s">
        <v>26</v>
      </c>
      <c r="V9" s="7" t="s">
        <v>27</v>
      </c>
      <c r="W9" s="7" t="s">
        <v>28</v>
      </c>
      <c r="X9" s="7" t="s">
        <v>13</v>
      </c>
      <c r="Y9" s="7"/>
      <c r="Z9" s="7" t="s">
        <v>0</v>
      </c>
      <c r="AB9" s="7" t="s">
        <v>15</v>
      </c>
      <c r="AC9" s="7" t="s">
        <v>9</v>
      </c>
      <c r="AD9" s="7" t="s">
        <v>10</v>
      </c>
      <c r="AE9" s="7" t="s">
        <v>11</v>
      </c>
      <c r="AF9" s="7" t="s">
        <v>12</v>
      </c>
      <c r="AG9" s="7" t="s">
        <v>13</v>
      </c>
      <c r="AH9" s="7" t="s">
        <v>16</v>
      </c>
      <c r="AI9" s="7" t="s">
        <v>17</v>
      </c>
      <c r="AJ9" s="7" t="s">
        <v>19</v>
      </c>
      <c r="AK9" s="7" t="s">
        <v>20</v>
      </c>
      <c r="AL9" s="7" t="s">
        <v>21</v>
      </c>
      <c r="AM9" s="7" t="s">
        <v>22</v>
      </c>
      <c r="AN9" s="7" t="s">
        <v>23</v>
      </c>
      <c r="AO9" s="7" t="s">
        <v>24</v>
      </c>
      <c r="AP9" s="7" t="s">
        <v>25</v>
      </c>
      <c r="AQ9" s="7" t="s">
        <v>26</v>
      </c>
      <c r="AR9" s="7" t="s">
        <v>27</v>
      </c>
      <c r="AS9" s="7" t="s">
        <v>28</v>
      </c>
      <c r="AT9" s="7" t="s">
        <v>13</v>
      </c>
    </row>
    <row r="10" spans="1:47" x14ac:dyDescent="0.25">
      <c r="B10" s="1" t="s">
        <v>29</v>
      </c>
      <c r="C10" s="1">
        <v>3836100</v>
      </c>
      <c r="D10" s="6">
        <v>0.35</v>
      </c>
      <c r="E10" s="6">
        <v>0.55000000000000004</v>
      </c>
      <c r="F10" s="6"/>
      <c r="G10" s="6">
        <v>0.1</v>
      </c>
      <c r="H10" s="6"/>
      <c r="I10" s="6">
        <f>SUM(D10:H10)</f>
        <v>1</v>
      </c>
      <c r="J10" s="5">
        <v>0.79</v>
      </c>
      <c r="K10" s="5"/>
      <c r="L10" s="5">
        <v>0.02</v>
      </c>
      <c r="M10" s="5"/>
      <c r="N10" s="5"/>
      <c r="O10" s="5">
        <f>0.05*0.1</f>
        <v>5.000000000000001E-3</v>
      </c>
      <c r="P10" s="5"/>
      <c r="Q10" s="5">
        <f>0.05*0.9</f>
        <v>4.5000000000000005E-2</v>
      </c>
      <c r="R10" s="5">
        <v>0.02</v>
      </c>
      <c r="S10" s="5">
        <v>0.09</v>
      </c>
      <c r="T10" s="5">
        <v>0.01</v>
      </c>
      <c r="U10" s="5">
        <v>0.01</v>
      </c>
      <c r="V10" s="5"/>
      <c r="W10" s="5"/>
      <c r="X10" s="5">
        <v>0.01</v>
      </c>
      <c r="Z10" s="6">
        <f t="shared" ref="Z10:Z75" si="4">SUM(J10:X10)</f>
        <v>1</v>
      </c>
      <c r="AB10" s="9">
        <f t="shared" ref="AB10:AB75" si="5">$C10*J10</f>
        <v>3030519</v>
      </c>
      <c r="AC10" s="9">
        <f>D10*$J10*$C10</f>
        <v>1060681.6499999999</v>
      </c>
      <c r="AD10" s="9">
        <f>E10*$J10*$C10</f>
        <v>1666785.4500000002</v>
      </c>
      <c r="AE10" s="9">
        <f>F10*$J10*$C10</f>
        <v>0</v>
      </c>
      <c r="AF10" s="9">
        <f>G10*$J10*$C10</f>
        <v>303051.90000000008</v>
      </c>
      <c r="AG10" s="9">
        <f>H10*$J10*$C10</f>
        <v>0</v>
      </c>
      <c r="AH10" s="9">
        <f>$C10*K10</f>
        <v>0</v>
      </c>
      <c r="AI10" s="9">
        <f>$C10*L10</f>
        <v>76722</v>
      </c>
      <c r="AJ10" s="9">
        <f t="shared" ref="AJ10:AT33" si="6">$C10*N10</f>
        <v>0</v>
      </c>
      <c r="AK10" s="9">
        <f t="shared" si="6"/>
        <v>19180.500000000004</v>
      </c>
      <c r="AL10" s="9">
        <f t="shared" si="6"/>
        <v>0</v>
      </c>
      <c r="AM10" s="9">
        <f t="shared" si="6"/>
        <v>172624.50000000003</v>
      </c>
      <c r="AN10" s="9">
        <f t="shared" si="6"/>
        <v>76722</v>
      </c>
      <c r="AO10" s="9">
        <f t="shared" si="6"/>
        <v>345249</v>
      </c>
      <c r="AP10" s="9">
        <f t="shared" si="6"/>
        <v>38361</v>
      </c>
      <c r="AQ10" s="9">
        <f t="shared" si="6"/>
        <v>38361</v>
      </c>
      <c r="AR10" s="9">
        <f t="shared" si="6"/>
        <v>0</v>
      </c>
      <c r="AS10" s="9">
        <f t="shared" si="6"/>
        <v>0</v>
      </c>
      <c r="AT10" s="9">
        <f t="shared" si="6"/>
        <v>38361</v>
      </c>
    </row>
    <row r="11" spans="1:47" x14ac:dyDescent="0.25">
      <c r="B11" s="2" t="s">
        <v>30</v>
      </c>
      <c r="C11" s="1">
        <v>475200</v>
      </c>
      <c r="D11" s="6">
        <v>0.2</v>
      </c>
      <c r="E11" s="6">
        <v>0.4</v>
      </c>
      <c r="F11" s="6">
        <v>0.1</v>
      </c>
      <c r="G11" s="6">
        <v>0.3</v>
      </c>
      <c r="H11" s="6"/>
      <c r="I11" s="6">
        <f t="shared" ref="I11:I64" si="7">SUM(D11:H11)</f>
        <v>1</v>
      </c>
      <c r="J11" s="5">
        <v>0.79</v>
      </c>
      <c r="K11" s="5"/>
      <c r="L11" s="5">
        <v>0.01</v>
      </c>
      <c r="M11" s="5"/>
      <c r="N11" s="5"/>
      <c r="O11" s="5">
        <v>1.4999999999999999E-2</v>
      </c>
      <c r="P11" s="5"/>
      <c r="Q11" s="5">
        <v>1.4999999999999999E-2</v>
      </c>
      <c r="R11" s="5">
        <v>0.02</v>
      </c>
      <c r="S11" s="5">
        <v>0.05</v>
      </c>
      <c r="T11" s="5">
        <v>0.01</v>
      </c>
      <c r="U11" s="5">
        <v>0.09</v>
      </c>
      <c r="V11" s="5"/>
      <c r="W11" s="5"/>
      <c r="X11" s="5">
        <v>0</v>
      </c>
      <c r="Z11" s="6">
        <f t="shared" si="4"/>
        <v>1.0000000000000002</v>
      </c>
      <c r="AB11" s="9">
        <f t="shared" si="5"/>
        <v>375408</v>
      </c>
      <c r="AC11" s="9">
        <f t="shared" ref="AC11:AG61" si="8">D11*$J11*$C11</f>
        <v>75081.60000000002</v>
      </c>
      <c r="AD11" s="9">
        <f t="shared" si="8"/>
        <v>150163.20000000004</v>
      </c>
      <c r="AE11" s="9">
        <f t="shared" si="8"/>
        <v>37540.80000000001</v>
      </c>
      <c r="AF11" s="9">
        <f t="shared" si="8"/>
        <v>112622.39999999999</v>
      </c>
      <c r="AG11" s="9">
        <f t="shared" si="8"/>
        <v>0</v>
      </c>
      <c r="AH11" s="9">
        <f t="shared" ref="AH11:AI75" si="9">$C11*K11</f>
        <v>0</v>
      </c>
      <c r="AI11" s="9">
        <f t="shared" si="9"/>
        <v>4752</v>
      </c>
      <c r="AJ11" s="9">
        <f t="shared" si="6"/>
        <v>0</v>
      </c>
      <c r="AK11" s="9">
        <f t="shared" si="6"/>
        <v>7128</v>
      </c>
      <c r="AL11" s="9">
        <f t="shared" si="6"/>
        <v>0</v>
      </c>
      <c r="AM11" s="9">
        <f t="shared" si="6"/>
        <v>7128</v>
      </c>
      <c r="AN11" s="9">
        <f t="shared" si="6"/>
        <v>9504</v>
      </c>
      <c r="AO11" s="9">
        <f t="shared" si="6"/>
        <v>23760</v>
      </c>
      <c r="AP11" s="9">
        <f t="shared" si="6"/>
        <v>4752</v>
      </c>
      <c r="AQ11" s="9">
        <f t="shared" si="6"/>
        <v>42768</v>
      </c>
      <c r="AR11" s="9">
        <f t="shared" si="6"/>
        <v>0</v>
      </c>
      <c r="AS11" s="9">
        <f t="shared" si="6"/>
        <v>0</v>
      </c>
      <c r="AT11" s="9">
        <f t="shared" si="6"/>
        <v>0</v>
      </c>
    </row>
    <row r="12" spans="1:47" x14ac:dyDescent="0.25">
      <c r="B12" s="2" t="s">
        <v>31</v>
      </c>
      <c r="C12" s="1">
        <v>123880</v>
      </c>
      <c r="D12" s="6">
        <v>0.35</v>
      </c>
      <c r="E12" s="6">
        <v>0.45</v>
      </c>
      <c r="F12" s="6">
        <v>0.2</v>
      </c>
      <c r="G12" s="6"/>
      <c r="H12" s="6"/>
      <c r="I12" s="6">
        <f t="shared" si="7"/>
        <v>1</v>
      </c>
      <c r="J12" s="5">
        <v>0.82</v>
      </c>
      <c r="K12" s="5">
        <v>5.7000000000000002E-2</v>
      </c>
      <c r="L12" s="5">
        <v>4.2999999999999997E-2</v>
      </c>
      <c r="M12" s="5"/>
      <c r="N12" s="5"/>
      <c r="O12" s="5"/>
      <c r="P12" s="5"/>
      <c r="Q12" s="5">
        <v>0.02</v>
      </c>
      <c r="R12" s="5">
        <v>0.02</v>
      </c>
      <c r="S12" s="5">
        <v>0.02</v>
      </c>
      <c r="T12" s="5">
        <v>0.01</v>
      </c>
      <c r="U12" s="5"/>
      <c r="V12" s="5"/>
      <c r="W12" s="5"/>
      <c r="X12" s="5">
        <v>0.01</v>
      </c>
      <c r="Z12" s="6">
        <f t="shared" si="4"/>
        <v>1</v>
      </c>
      <c r="AB12" s="9">
        <f t="shared" si="5"/>
        <v>101581.59999999999</v>
      </c>
      <c r="AC12" s="9">
        <f t="shared" si="8"/>
        <v>35553.56</v>
      </c>
      <c r="AD12" s="9">
        <f t="shared" si="8"/>
        <v>45711.72</v>
      </c>
      <c r="AE12" s="9">
        <f t="shared" si="8"/>
        <v>20316.32</v>
      </c>
      <c r="AF12" s="9">
        <f t="shared" si="8"/>
        <v>0</v>
      </c>
      <c r="AG12" s="9">
        <f t="shared" si="8"/>
        <v>0</v>
      </c>
      <c r="AH12" s="9">
        <f t="shared" si="9"/>
        <v>7061.16</v>
      </c>
      <c r="AI12" s="9">
        <f t="shared" si="9"/>
        <v>5326.8399999999992</v>
      </c>
      <c r="AJ12" s="9">
        <f t="shared" si="6"/>
        <v>0</v>
      </c>
      <c r="AK12" s="9">
        <f t="shared" si="6"/>
        <v>0</v>
      </c>
      <c r="AL12" s="9">
        <f t="shared" si="6"/>
        <v>0</v>
      </c>
      <c r="AM12" s="9">
        <f t="shared" si="6"/>
        <v>2477.6</v>
      </c>
      <c r="AN12" s="9">
        <f t="shared" si="6"/>
        <v>2477.6</v>
      </c>
      <c r="AO12" s="9">
        <f t="shared" si="6"/>
        <v>2477.6</v>
      </c>
      <c r="AP12" s="9">
        <f t="shared" si="6"/>
        <v>1238.8</v>
      </c>
      <c r="AQ12" s="9">
        <f t="shared" si="6"/>
        <v>0</v>
      </c>
      <c r="AR12" s="9">
        <f t="shared" si="6"/>
        <v>0</v>
      </c>
      <c r="AS12" s="9">
        <f t="shared" si="6"/>
        <v>0</v>
      </c>
      <c r="AT12" s="9">
        <f t="shared" si="6"/>
        <v>1238.8</v>
      </c>
    </row>
    <row r="13" spans="1:47" x14ac:dyDescent="0.25">
      <c r="B13" s="2" t="s">
        <v>32</v>
      </c>
      <c r="C13" s="1">
        <v>110000</v>
      </c>
      <c r="D13" s="6">
        <v>0.12</v>
      </c>
      <c r="E13" s="6">
        <v>0.3</v>
      </c>
      <c r="F13" s="6">
        <v>0.08</v>
      </c>
      <c r="G13" s="6">
        <v>0.5</v>
      </c>
      <c r="H13" s="6"/>
      <c r="I13" s="6">
        <f t="shared" si="7"/>
        <v>1</v>
      </c>
      <c r="J13" s="5">
        <v>0.37</v>
      </c>
      <c r="K13" s="5"/>
      <c r="L13" s="5"/>
      <c r="M13" s="5"/>
      <c r="N13" s="5"/>
      <c r="O13" s="5">
        <v>0.05</v>
      </c>
      <c r="P13" s="5"/>
      <c r="Q13" s="5">
        <v>0.05</v>
      </c>
      <c r="R13" s="5">
        <v>7.0000000000000007E-2</v>
      </c>
      <c r="S13" s="5">
        <v>0.18</v>
      </c>
      <c r="T13" s="5">
        <v>0.02</v>
      </c>
      <c r="U13" s="5">
        <v>0.05</v>
      </c>
      <c r="V13" s="5">
        <v>0.2</v>
      </c>
      <c r="W13" s="5"/>
      <c r="X13" s="5">
        <v>0.01</v>
      </c>
      <c r="Z13" s="6">
        <f t="shared" si="4"/>
        <v>1</v>
      </c>
      <c r="AB13" s="9">
        <f t="shared" si="5"/>
        <v>40700</v>
      </c>
      <c r="AC13" s="9">
        <f t="shared" si="8"/>
        <v>4883.9999999999991</v>
      </c>
      <c r="AD13" s="9">
        <f t="shared" si="8"/>
        <v>12210</v>
      </c>
      <c r="AE13" s="9">
        <f t="shared" si="8"/>
        <v>3256</v>
      </c>
      <c r="AF13" s="9">
        <f t="shared" si="8"/>
        <v>20350</v>
      </c>
      <c r="AG13" s="9">
        <f t="shared" si="8"/>
        <v>0</v>
      </c>
      <c r="AH13" s="9">
        <f t="shared" si="9"/>
        <v>0</v>
      </c>
      <c r="AI13" s="9">
        <f t="shared" si="9"/>
        <v>0</v>
      </c>
      <c r="AJ13" s="9">
        <f t="shared" si="6"/>
        <v>0</v>
      </c>
      <c r="AK13" s="9">
        <f t="shared" si="6"/>
        <v>5500</v>
      </c>
      <c r="AL13" s="9">
        <f t="shared" si="6"/>
        <v>0</v>
      </c>
      <c r="AM13" s="9">
        <f t="shared" si="6"/>
        <v>5500</v>
      </c>
      <c r="AN13" s="9">
        <f t="shared" si="6"/>
        <v>7700.0000000000009</v>
      </c>
      <c r="AO13" s="9">
        <f t="shared" si="6"/>
        <v>19800</v>
      </c>
      <c r="AP13" s="9">
        <f t="shared" si="6"/>
        <v>2200</v>
      </c>
      <c r="AQ13" s="9">
        <f t="shared" si="6"/>
        <v>5500</v>
      </c>
      <c r="AR13" s="9">
        <f t="shared" si="6"/>
        <v>22000</v>
      </c>
      <c r="AS13" s="9">
        <f t="shared" si="6"/>
        <v>0</v>
      </c>
      <c r="AT13" s="9">
        <f t="shared" si="6"/>
        <v>1100</v>
      </c>
    </row>
    <row r="14" spans="1:47" x14ac:dyDescent="0.25">
      <c r="B14" s="2" t="s">
        <v>33</v>
      </c>
      <c r="C14" s="1">
        <v>310000</v>
      </c>
      <c r="D14" s="6">
        <v>0.12</v>
      </c>
      <c r="E14" s="6">
        <v>0.8</v>
      </c>
      <c r="F14" s="6"/>
      <c r="G14" s="6">
        <v>0.08</v>
      </c>
      <c r="H14" s="6"/>
      <c r="I14" s="6">
        <f t="shared" si="7"/>
        <v>1</v>
      </c>
      <c r="J14" s="5">
        <v>0.37</v>
      </c>
      <c r="K14" s="5"/>
      <c r="L14" s="5">
        <v>0.01</v>
      </c>
      <c r="M14" s="5"/>
      <c r="N14" s="5"/>
      <c r="O14" s="5">
        <v>3.5000000000000003E-2</v>
      </c>
      <c r="P14" s="5"/>
      <c r="Q14" s="5">
        <v>3.5000000000000003E-2</v>
      </c>
      <c r="R14" s="5">
        <v>0.1</v>
      </c>
      <c r="S14" s="5">
        <v>0.18</v>
      </c>
      <c r="T14" s="5">
        <v>0.03</v>
      </c>
      <c r="U14" s="5">
        <v>0.04</v>
      </c>
      <c r="V14" s="5">
        <v>0.2</v>
      </c>
      <c r="W14" s="5"/>
      <c r="X14" s="5"/>
      <c r="Z14" s="6">
        <f t="shared" si="4"/>
        <v>1</v>
      </c>
      <c r="AB14" s="9">
        <f t="shared" si="5"/>
        <v>114700</v>
      </c>
      <c r="AC14" s="9">
        <f t="shared" si="8"/>
        <v>13763.999999999998</v>
      </c>
      <c r="AD14" s="9">
        <f t="shared" si="8"/>
        <v>91760</v>
      </c>
      <c r="AE14" s="9">
        <f t="shared" si="8"/>
        <v>0</v>
      </c>
      <c r="AF14" s="9">
        <f t="shared" si="8"/>
        <v>9176</v>
      </c>
      <c r="AG14" s="9">
        <f t="shared" si="8"/>
        <v>0</v>
      </c>
      <c r="AH14" s="9">
        <f t="shared" si="9"/>
        <v>0</v>
      </c>
      <c r="AI14" s="9">
        <f t="shared" si="9"/>
        <v>3100</v>
      </c>
      <c r="AJ14" s="9">
        <f t="shared" si="6"/>
        <v>0</v>
      </c>
      <c r="AK14" s="9">
        <f t="shared" si="6"/>
        <v>10850.000000000002</v>
      </c>
      <c r="AL14" s="9">
        <f t="shared" si="6"/>
        <v>0</v>
      </c>
      <c r="AM14" s="9">
        <f t="shared" si="6"/>
        <v>10850.000000000002</v>
      </c>
      <c r="AN14" s="9">
        <f t="shared" si="6"/>
        <v>31000</v>
      </c>
      <c r="AO14" s="9">
        <f t="shared" si="6"/>
        <v>55800</v>
      </c>
      <c r="AP14" s="9">
        <f t="shared" si="6"/>
        <v>9300</v>
      </c>
      <c r="AQ14" s="9">
        <f t="shared" si="6"/>
        <v>12400</v>
      </c>
      <c r="AR14" s="9">
        <f t="shared" si="6"/>
        <v>62000</v>
      </c>
      <c r="AS14" s="9">
        <f t="shared" si="6"/>
        <v>0</v>
      </c>
      <c r="AT14" s="9">
        <f t="shared" si="6"/>
        <v>0</v>
      </c>
    </row>
    <row r="15" spans="1:47" x14ac:dyDescent="0.25">
      <c r="B15" s="2" t="s">
        <v>34</v>
      </c>
      <c r="C15" s="1">
        <v>26500</v>
      </c>
      <c r="D15" s="6">
        <v>0.15</v>
      </c>
      <c r="E15" s="6">
        <v>0.1</v>
      </c>
      <c r="F15" s="6">
        <v>0.05</v>
      </c>
      <c r="G15" s="6">
        <v>0.7</v>
      </c>
      <c r="H15" s="6"/>
      <c r="I15" s="6">
        <f t="shared" si="7"/>
        <v>1</v>
      </c>
      <c r="J15" s="5">
        <v>0.79</v>
      </c>
      <c r="K15" s="5"/>
      <c r="L15" s="5">
        <v>0.2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>
        <v>0.01</v>
      </c>
      <c r="Z15" s="6">
        <f t="shared" si="4"/>
        <v>1</v>
      </c>
      <c r="AB15" s="9">
        <f t="shared" si="5"/>
        <v>20935</v>
      </c>
      <c r="AC15" s="9">
        <f t="shared" si="8"/>
        <v>3140.25</v>
      </c>
      <c r="AD15" s="9">
        <f t="shared" si="8"/>
        <v>2093.5000000000005</v>
      </c>
      <c r="AE15" s="9">
        <f t="shared" si="8"/>
        <v>1046.7500000000002</v>
      </c>
      <c r="AF15" s="9">
        <f t="shared" si="8"/>
        <v>14654.499999999998</v>
      </c>
      <c r="AG15" s="9">
        <f t="shared" si="8"/>
        <v>0</v>
      </c>
      <c r="AH15" s="9">
        <f t="shared" si="9"/>
        <v>0</v>
      </c>
      <c r="AI15" s="9">
        <f t="shared" si="9"/>
        <v>5300</v>
      </c>
      <c r="AJ15" s="9">
        <f t="shared" si="6"/>
        <v>0</v>
      </c>
      <c r="AK15" s="9">
        <f t="shared" si="6"/>
        <v>0</v>
      </c>
      <c r="AL15" s="9">
        <f t="shared" si="6"/>
        <v>0</v>
      </c>
      <c r="AM15" s="9">
        <f t="shared" si="6"/>
        <v>0</v>
      </c>
      <c r="AN15" s="9">
        <f t="shared" si="6"/>
        <v>0</v>
      </c>
      <c r="AO15" s="9">
        <f t="shared" si="6"/>
        <v>0</v>
      </c>
      <c r="AP15" s="9">
        <f t="shared" si="6"/>
        <v>0</v>
      </c>
      <c r="AQ15" s="9">
        <f t="shared" si="6"/>
        <v>0</v>
      </c>
      <c r="AR15" s="9">
        <f t="shared" si="6"/>
        <v>0</v>
      </c>
      <c r="AS15" s="9">
        <f t="shared" si="6"/>
        <v>0</v>
      </c>
      <c r="AT15" s="9">
        <f t="shared" si="6"/>
        <v>265</v>
      </c>
    </row>
    <row r="16" spans="1:47" x14ac:dyDescent="0.25">
      <c r="B16" s="2" t="s">
        <v>35</v>
      </c>
      <c r="C16" s="1">
        <v>140000</v>
      </c>
      <c r="D16" s="6">
        <v>0.8</v>
      </c>
      <c r="E16" s="6">
        <v>0.12</v>
      </c>
      <c r="F16" s="6"/>
      <c r="G16" s="6">
        <v>0.08</v>
      </c>
      <c r="H16" s="6"/>
      <c r="I16" s="6">
        <f t="shared" si="7"/>
        <v>1</v>
      </c>
      <c r="J16" s="5">
        <v>0.09</v>
      </c>
      <c r="K16" s="5"/>
      <c r="L16" s="5"/>
      <c r="M16" s="5"/>
      <c r="N16" s="5"/>
      <c r="O16" s="5"/>
      <c r="P16" s="5">
        <f>0.79*0.55</f>
        <v>0.43450000000000005</v>
      </c>
      <c r="Q16" s="5">
        <f>0.79*0.45</f>
        <v>0.35550000000000004</v>
      </c>
      <c r="R16" s="5">
        <v>0.03</v>
      </c>
      <c r="S16" s="5">
        <v>0.02</v>
      </c>
      <c r="T16" s="5">
        <v>0.05</v>
      </c>
      <c r="U16" s="5"/>
      <c r="V16" s="5"/>
      <c r="W16" s="5"/>
      <c r="X16" s="5">
        <v>0.02</v>
      </c>
      <c r="Z16" s="6">
        <f t="shared" si="4"/>
        <v>1.0000000000000002</v>
      </c>
      <c r="AB16" s="9">
        <f t="shared" si="5"/>
        <v>12600</v>
      </c>
      <c r="AC16" s="9">
        <f t="shared" si="8"/>
        <v>10080</v>
      </c>
      <c r="AD16" s="9">
        <f t="shared" si="8"/>
        <v>1511.9999999999998</v>
      </c>
      <c r="AE16" s="9">
        <f t="shared" si="8"/>
        <v>0</v>
      </c>
      <c r="AF16" s="9">
        <f t="shared" si="8"/>
        <v>1008</v>
      </c>
      <c r="AG16" s="9">
        <f t="shared" si="8"/>
        <v>0</v>
      </c>
      <c r="AH16" s="9">
        <f t="shared" si="9"/>
        <v>0</v>
      </c>
      <c r="AI16" s="9">
        <f t="shared" si="9"/>
        <v>0</v>
      </c>
      <c r="AJ16" s="9">
        <f t="shared" si="6"/>
        <v>0</v>
      </c>
      <c r="AK16" s="9">
        <f t="shared" si="6"/>
        <v>0</v>
      </c>
      <c r="AL16" s="9">
        <f t="shared" si="6"/>
        <v>60830.000000000007</v>
      </c>
      <c r="AM16" s="9">
        <f t="shared" si="6"/>
        <v>49770.000000000007</v>
      </c>
      <c r="AN16" s="9">
        <f t="shared" si="6"/>
        <v>4200</v>
      </c>
      <c r="AO16" s="9">
        <f t="shared" si="6"/>
        <v>2800</v>
      </c>
      <c r="AP16" s="9">
        <f t="shared" si="6"/>
        <v>7000</v>
      </c>
      <c r="AQ16" s="9">
        <f t="shared" si="6"/>
        <v>0</v>
      </c>
      <c r="AR16" s="9">
        <f t="shared" si="6"/>
        <v>0</v>
      </c>
      <c r="AS16" s="9">
        <f t="shared" si="6"/>
        <v>0</v>
      </c>
      <c r="AT16" s="9">
        <f t="shared" si="6"/>
        <v>2800</v>
      </c>
    </row>
    <row r="17" spans="2:46" x14ac:dyDescent="0.25">
      <c r="B17" s="2" t="s">
        <v>36</v>
      </c>
      <c r="C17" s="1">
        <v>128000</v>
      </c>
      <c r="D17" s="6">
        <v>0.12</v>
      </c>
      <c r="E17" s="6">
        <v>0.7</v>
      </c>
      <c r="F17" s="6">
        <v>0.06</v>
      </c>
      <c r="G17" s="6">
        <v>0.08</v>
      </c>
      <c r="H17" s="6">
        <v>0.04</v>
      </c>
      <c r="I17" s="6">
        <f t="shared" si="7"/>
        <v>0.99999999999999989</v>
      </c>
      <c r="J17" s="5">
        <v>0.79</v>
      </c>
      <c r="K17" s="5"/>
      <c r="L17" s="5">
        <v>0.02</v>
      </c>
      <c r="M17" s="5"/>
      <c r="N17" s="5"/>
      <c r="O17" s="5">
        <v>1.4999999999999999E-2</v>
      </c>
      <c r="P17" s="5"/>
      <c r="Q17" s="5">
        <v>1.4999999999999999E-2</v>
      </c>
      <c r="R17" s="5">
        <v>0.08</v>
      </c>
      <c r="S17" s="5">
        <v>0.06</v>
      </c>
      <c r="T17" s="5">
        <v>0.01</v>
      </c>
      <c r="U17" s="5">
        <v>0.01</v>
      </c>
      <c r="V17" s="5"/>
      <c r="W17" s="5"/>
      <c r="X17" s="5"/>
      <c r="Z17" s="6">
        <f t="shared" si="4"/>
        <v>1</v>
      </c>
      <c r="AB17" s="9">
        <f t="shared" si="5"/>
        <v>101120</v>
      </c>
      <c r="AC17" s="9">
        <f t="shared" si="8"/>
        <v>12134.4</v>
      </c>
      <c r="AD17" s="9">
        <f t="shared" si="8"/>
        <v>70783.999999999985</v>
      </c>
      <c r="AE17" s="9">
        <f t="shared" si="8"/>
        <v>6067.2</v>
      </c>
      <c r="AF17" s="9">
        <f t="shared" si="8"/>
        <v>8089.6</v>
      </c>
      <c r="AG17" s="9">
        <f t="shared" si="8"/>
        <v>4044.8</v>
      </c>
      <c r="AH17" s="9">
        <f t="shared" si="9"/>
        <v>0</v>
      </c>
      <c r="AI17" s="9">
        <f t="shared" si="9"/>
        <v>2560</v>
      </c>
      <c r="AJ17" s="9">
        <f t="shared" si="6"/>
        <v>0</v>
      </c>
      <c r="AK17" s="9">
        <f t="shared" si="6"/>
        <v>1920</v>
      </c>
      <c r="AL17" s="9">
        <f t="shared" si="6"/>
        <v>0</v>
      </c>
      <c r="AM17" s="9">
        <f t="shared" si="6"/>
        <v>1920</v>
      </c>
      <c r="AN17" s="9">
        <f t="shared" si="6"/>
        <v>10240</v>
      </c>
      <c r="AO17" s="9">
        <f t="shared" si="6"/>
        <v>7680</v>
      </c>
      <c r="AP17" s="9">
        <f t="shared" si="6"/>
        <v>1280</v>
      </c>
      <c r="AQ17" s="9">
        <f t="shared" si="6"/>
        <v>1280</v>
      </c>
      <c r="AR17" s="9">
        <f t="shared" si="6"/>
        <v>0</v>
      </c>
      <c r="AS17" s="9">
        <f t="shared" si="6"/>
        <v>0</v>
      </c>
      <c r="AT17" s="9">
        <f t="shared" si="6"/>
        <v>0</v>
      </c>
    </row>
    <row r="18" spans="2:46" x14ac:dyDescent="0.25">
      <c r="B18" s="2" t="s">
        <v>37</v>
      </c>
      <c r="C18" s="1">
        <v>1960000</v>
      </c>
      <c r="D18" s="6"/>
      <c r="E18" s="6"/>
      <c r="F18" s="6">
        <v>1</v>
      </c>
      <c r="G18" s="6"/>
      <c r="H18" s="6"/>
      <c r="I18" s="6">
        <f t="shared" si="7"/>
        <v>1</v>
      </c>
      <c r="J18" s="5">
        <v>0.96</v>
      </c>
      <c r="K18" s="5"/>
      <c r="L18" s="5"/>
      <c r="M18" s="5"/>
      <c r="N18" s="5"/>
      <c r="O18" s="5">
        <v>5.0000000000000001E-3</v>
      </c>
      <c r="P18" s="5"/>
      <c r="Q18" s="5">
        <v>5.0000000000000001E-3</v>
      </c>
      <c r="R18" s="5"/>
      <c r="S18" s="5">
        <v>0.02</v>
      </c>
      <c r="T18" s="5"/>
      <c r="U18" s="5"/>
      <c r="V18" s="5"/>
      <c r="W18" s="5"/>
      <c r="X18" s="5">
        <v>0.01</v>
      </c>
      <c r="Z18" s="6">
        <f t="shared" si="4"/>
        <v>1</v>
      </c>
      <c r="AB18" s="9">
        <f t="shared" si="5"/>
        <v>1881600</v>
      </c>
      <c r="AC18" s="9">
        <f t="shared" si="8"/>
        <v>0</v>
      </c>
      <c r="AD18" s="9">
        <f t="shared" si="8"/>
        <v>0</v>
      </c>
      <c r="AE18" s="9">
        <f t="shared" si="8"/>
        <v>1881600</v>
      </c>
      <c r="AF18" s="9">
        <f t="shared" si="8"/>
        <v>0</v>
      </c>
      <c r="AG18" s="9">
        <f t="shared" si="8"/>
        <v>0</v>
      </c>
      <c r="AH18" s="9">
        <f t="shared" si="9"/>
        <v>0</v>
      </c>
      <c r="AI18" s="9">
        <f t="shared" si="9"/>
        <v>0</v>
      </c>
      <c r="AJ18" s="9">
        <f t="shared" si="6"/>
        <v>0</v>
      </c>
      <c r="AK18" s="9">
        <f t="shared" si="6"/>
        <v>9800</v>
      </c>
      <c r="AL18" s="9">
        <f t="shared" si="6"/>
        <v>0</v>
      </c>
      <c r="AM18" s="9">
        <f t="shared" si="6"/>
        <v>9800</v>
      </c>
      <c r="AN18" s="9">
        <f t="shared" si="6"/>
        <v>0</v>
      </c>
      <c r="AO18" s="9">
        <f t="shared" si="6"/>
        <v>39200</v>
      </c>
      <c r="AP18" s="9">
        <f t="shared" si="6"/>
        <v>0</v>
      </c>
      <c r="AQ18" s="9">
        <f t="shared" si="6"/>
        <v>0</v>
      </c>
      <c r="AR18" s="9">
        <f t="shared" si="6"/>
        <v>0</v>
      </c>
      <c r="AS18" s="9">
        <f t="shared" si="6"/>
        <v>0</v>
      </c>
      <c r="AT18" s="9">
        <f t="shared" si="6"/>
        <v>19600</v>
      </c>
    </row>
    <row r="19" spans="2:46" x14ac:dyDescent="0.25">
      <c r="B19" s="2" t="s">
        <v>38</v>
      </c>
      <c r="C19" s="1">
        <v>144500</v>
      </c>
      <c r="D19" s="6">
        <v>1</v>
      </c>
      <c r="E19" s="6"/>
      <c r="F19" s="6"/>
      <c r="G19" s="6"/>
      <c r="H19" s="6"/>
      <c r="I19" s="6">
        <f t="shared" si="7"/>
        <v>1</v>
      </c>
      <c r="J19" s="5">
        <v>0.96</v>
      </c>
      <c r="K19" s="5">
        <v>0.01</v>
      </c>
      <c r="L19" s="5">
        <v>0.01</v>
      </c>
      <c r="M19" s="5"/>
      <c r="N19" s="5"/>
      <c r="O19" s="5"/>
      <c r="P19" s="5"/>
      <c r="Q19" s="5"/>
      <c r="R19" s="5"/>
      <c r="S19" s="5">
        <v>0.01</v>
      </c>
      <c r="T19" s="5"/>
      <c r="U19" s="5"/>
      <c r="V19" s="5"/>
      <c r="W19" s="5"/>
      <c r="X19" s="5">
        <v>0.01</v>
      </c>
      <c r="Z19" s="6">
        <f t="shared" si="4"/>
        <v>1</v>
      </c>
      <c r="AB19" s="9">
        <f t="shared" si="5"/>
        <v>138720</v>
      </c>
      <c r="AC19" s="9">
        <f t="shared" si="8"/>
        <v>138720</v>
      </c>
      <c r="AD19" s="9">
        <f t="shared" si="8"/>
        <v>0</v>
      </c>
      <c r="AE19" s="9">
        <f t="shared" si="8"/>
        <v>0</v>
      </c>
      <c r="AF19" s="9">
        <f t="shared" si="8"/>
        <v>0</v>
      </c>
      <c r="AG19" s="9">
        <f t="shared" si="8"/>
        <v>0</v>
      </c>
      <c r="AH19" s="9">
        <f t="shared" si="9"/>
        <v>1445</v>
      </c>
      <c r="AI19" s="9">
        <f t="shared" si="9"/>
        <v>1445</v>
      </c>
      <c r="AJ19" s="9">
        <f t="shared" si="6"/>
        <v>0</v>
      </c>
      <c r="AK19" s="9">
        <f t="shared" si="6"/>
        <v>0</v>
      </c>
      <c r="AL19" s="9">
        <f t="shared" si="6"/>
        <v>0</v>
      </c>
      <c r="AM19" s="9">
        <f t="shared" si="6"/>
        <v>0</v>
      </c>
      <c r="AN19" s="9">
        <f t="shared" si="6"/>
        <v>0</v>
      </c>
      <c r="AO19" s="9">
        <f t="shared" si="6"/>
        <v>1445</v>
      </c>
      <c r="AP19" s="9">
        <f t="shared" si="6"/>
        <v>0</v>
      </c>
      <c r="AQ19" s="9">
        <f t="shared" si="6"/>
        <v>0</v>
      </c>
      <c r="AR19" s="9">
        <f t="shared" si="6"/>
        <v>0</v>
      </c>
      <c r="AS19" s="9">
        <f t="shared" si="6"/>
        <v>0</v>
      </c>
      <c r="AT19" s="9">
        <f t="shared" si="6"/>
        <v>1445</v>
      </c>
    </row>
    <row r="20" spans="2:46" x14ac:dyDescent="0.25">
      <c r="B20" s="2" t="s">
        <v>39</v>
      </c>
      <c r="C20" s="1">
        <v>1481800</v>
      </c>
      <c r="D20" s="6">
        <v>0.12</v>
      </c>
      <c r="E20" s="6">
        <v>0.75</v>
      </c>
      <c r="F20" s="6">
        <v>0.08</v>
      </c>
      <c r="G20" s="6">
        <v>0.05</v>
      </c>
      <c r="H20" s="6"/>
      <c r="I20" s="6">
        <f t="shared" si="7"/>
        <v>1</v>
      </c>
      <c r="J20" s="5">
        <v>0.79</v>
      </c>
      <c r="K20" s="5"/>
      <c r="L20" s="5">
        <v>0.03</v>
      </c>
      <c r="M20" s="5"/>
      <c r="N20" s="5"/>
      <c r="O20" s="5">
        <f>0.4*0.09</f>
        <v>3.5999999999999997E-2</v>
      </c>
      <c r="P20" s="5"/>
      <c r="Q20" s="5">
        <f>0.6*0.09</f>
        <v>5.3999999999999999E-2</v>
      </c>
      <c r="R20" s="5">
        <v>0.02</v>
      </c>
      <c r="S20" s="5">
        <v>0.05</v>
      </c>
      <c r="T20" s="5">
        <v>0.01</v>
      </c>
      <c r="U20" s="5">
        <v>0.01</v>
      </c>
      <c r="V20" s="5"/>
      <c r="W20" s="5"/>
      <c r="X20" s="5"/>
      <c r="Z20" s="6">
        <f t="shared" si="4"/>
        <v>1.0000000000000002</v>
      </c>
      <c r="AB20" s="9">
        <f t="shared" si="5"/>
        <v>1170622</v>
      </c>
      <c r="AC20" s="9">
        <f t="shared" si="8"/>
        <v>140474.63999999998</v>
      </c>
      <c r="AD20" s="9">
        <f t="shared" si="8"/>
        <v>877966.5</v>
      </c>
      <c r="AE20" s="9">
        <f t="shared" si="8"/>
        <v>93649.760000000009</v>
      </c>
      <c r="AF20" s="9">
        <f t="shared" si="8"/>
        <v>58531.100000000013</v>
      </c>
      <c r="AG20" s="9">
        <f t="shared" si="8"/>
        <v>0</v>
      </c>
      <c r="AH20" s="9">
        <f t="shared" si="9"/>
        <v>0</v>
      </c>
      <c r="AI20" s="9">
        <f t="shared" si="9"/>
        <v>44454</v>
      </c>
      <c r="AJ20" s="9">
        <f t="shared" si="6"/>
        <v>0</v>
      </c>
      <c r="AK20" s="9">
        <f t="shared" si="6"/>
        <v>53344.799999999996</v>
      </c>
      <c r="AL20" s="9">
        <f t="shared" si="6"/>
        <v>0</v>
      </c>
      <c r="AM20" s="9">
        <f t="shared" si="6"/>
        <v>80017.2</v>
      </c>
      <c r="AN20" s="9">
        <f t="shared" si="6"/>
        <v>29636</v>
      </c>
      <c r="AO20" s="9">
        <f t="shared" si="6"/>
        <v>74090</v>
      </c>
      <c r="AP20" s="9">
        <f t="shared" si="6"/>
        <v>14818</v>
      </c>
      <c r="AQ20" s="9">
        <f t="shared" si="6"/>
        <v>14818</v>
      </c>
      <c r="AR20" s="9">
        <f t="shared" si="6"/>
        <v>0</v>
      </c>
      <c r="AS20" s="9">
        <f t="shared" si="6"/>
        <v>0</v>
      </c>
      <c r="AT20" s="9">
        <f t="shared" si="6"/>
        <v>0</v>
      </c>
    </row>
    <row r="21" spans="2:46" x14ac:dyDescent="0.25">
      <c r="B21" s="2" t="s">
        <v>40</v>
      </c>
      <c r="C21" s="1">
        <v>70000</v>
      </c>
      <c r="D21" s="6">
        <v>0.3</v>
      </c>
      <c r="E21" s="6">
        <v>0.25</v>
      </c>
      <c r="F21" s="6"/>
      <c r="G21" s="6">
        <v>0.45</v>
      </c>
      <c r="H21" s="6"/>
      <c r="I21" s="6">
        <f t="shared" si="7"/>
        <v>1</v>
      </c>
      <c r="J21" s="5">
        <v>0.79</v>
      </c>
      <c r="K21" s="5"/>
      <c r="L21" s="5">
        <v>0.03</v>
      </c>
      <c r="M21" s="5"/>
      <c r="N21" s="5"/>
      <c r="O21" s="5">
        <f>0.1*0.09</f>
        <v>8.9999999999999993E-3</v>
      </c>
      <c r="P21" s="5"/>
      <c r="Q21" s="10">
        <f>0.9*0.09</f>
        <v>8.1000000000000003E-2</v>
      </c>
      <c r="R21" s="5">
        <v>0.02</v>
      </c>
      <c r="S21" s="5">
        <v>0.05</v>
      </c>
      <c r="T21" s="5">
        <v>0.01</v>
      </c>
      <c r="U21" s="5">
        <v>0.01</v>
      </c>
      <c r="V21" s="5"/>
      <c r="W21" s="5"/>
      <c r="X21" s="5"/>
      <c r="Z21" s="6">
        <f t="shared" si="4"/>
        <v>1</v>
      </c>
      <c r="AB21" s="9">
        <f t="shared" si="5"/>
        <v>55300</v>
      </c>
      <c r="AC21" s="9">
        <f t="shared" si="8"/>
        <v>16590</v>
      </c>
      <c r="AD21" s="9">
        <f t="shared" si="8"/>
        <v>13825</v>
      </c>
      <c r="AE21" s="9">
        <f t="shared" si="8"/>
        <v>0</v>
      </c>
      <c r="AF21" s="9">
        <f t="shared" si="8"/>
        <v>24885.000000000004</v>
      </c>
      <c r="AG21" s="9">
        <f t="shared" si="8"/>
        <v>0</v>
      </c>
      <c r="AH21" s="9">
        <f t="shared" si="9"/>
        <v>0</v>
      </c>
      <c r="AI21" s="9">
        <f t="shared" si="9"/>
        <v>2100</v>
      </c>
      <c r="AJ21" s="9">
        <f t="shared" si="6"/>
        <v>0</v>
      </c>
      <c r="AK21" s="9">
        <f t="shared" si="6"/>
        <v>630</v>
      </c>
      <c r="AL21" s="9">
        <f t="shared" si="6"/>
        <v>0</v>
      </c>
      <c r="AM21" s="9">
        <f t="shared" si="6"/>
        <v>5670</v>
      </c>
      <c r="AN21" s="9">
        <f t="shared" si="6"/>
        <v>1400</v>
      </c>
      <c r="AO21" s="9">
        <f t="shared" si="6"/>
        <v>3500</v>
      </c>
      <c r="AP21" s="9">
        <f t="shared" si="6"/>
        <v>700</v>
      </c>
      <c r="AQ21" s="9">
        <f t="shared" si="6"/>
        <v>700</v>
      </c>
      <c r="AR21" s="9">
        <f t="shared" si="6"/>
        <v>0</v>
      </c>
      <c r="AS21" s="9">
        <f t="shared" si="6"/>
        <v>0</v>
      </c>
      <c r="AT21" s="9">
        <f t="shared" si="6"/>
        <v>0</v>
      </c>
    </row>
    <row r="22" spans="2:46" x14ac:dyDescent="0.25">
      <c r="B22" s="2" t="s">
        <v>41</v>
      </c>
      <c r="C22" s="1">
        <v>254600</v>
      </c>
      <c r="D22" s="6">
        <v>0.5</v>
      </c>
      <c r="E22" s="6">
        <v>0.4</v>
      </c>
      <c r="F22" s="6"/>
      <c r="G22" s="6">
        <v>0.1</v>
      </c>
      <c r="H22" s="6"/>
      <c r="I22" s="6">
        <f t="shared" si="7"/>
        <v>1</v>
      </c>
      <c r="J22" s="5">
        <v>0.79</v>
      </c>
      <c r="K22" s="5"/>
      <c r="L22" s="5">
        <v>0.05</v>
      </c>
      <c r="M22" s="5"/>
      <c r="N22" s="5"/>
      <c r="O22" s="5"/>
      <c r="P22" s="5"/>
      <c r="Q22" s="5">
        <v>0.08</v>
      </c>
      <c r="R22" s="5">
        <v>0.02</v>
      </c>
      <c r="S22" s="5">
        <v>0.03</v>
      </c>
      <c r="T22" s="5">
        <v>0.01</v>
      </c>
      <c r="U22" s="5">
        <v>0.01</v>
      </c>
      <c r="V22" s="5"/>
      <c r="W22" s="5"/>
      <c r="X22" s="5">
        <v>0.01</v>
      </c>
      <c r="Z22" s="6">
        <f t="shared" si="4"/>
        <v>1</v>
      </c>
      <c r="AB22" s="9">
        <f t="shared" si="5"/>
        <v>201134</v>
      </c>
      <c r="AC22" s="9">
        <f t="shared" si="8"/>
        <v>100567</v>
      </c>
      <c r="AD22" s="9">
        <f t="shared" si="8"/>
        <v>80453.60000000002</v>
      </c>
      <c r="AE22" s="9">
        <f t="shared" si="8"/>
        <v>0</v>
      </c>
      <c r="AF22" s="9">
        <f t="shared" si="8"/>
        <v>20113.400000000005</v>
      </c>
      <c r="AG22" s="9">
        <f t="shared" si="8"/>
        <v>0</v>
      </c>
      <c r="AH22" s="9">
        <f t="shared" si="9"/>
        <v>0</v>
      </c>
      <c r="AI22" s="9">
        <f t="shared" si="9"/>
        <v>12730</v>
      </c>
      <c r="AJ22" s="9">
        <f t="shared" si="6"/>
        <v>0</v>
      </c>
      <c r="AK22" s="9">
        <f t="shared" si="6"/>
        <v>0</v>
      </c>
      <c r="AL22" s="9">
        <f t="shared" si="6"/>
        <v>0</v>
      </c>
      <c r="AM22" s="9">
        <f t="shared" si="6"/>
        <v>20368</v>
      </c>
      <c r="AN22" s="9">
        <f t="shared" si="6"/>
        <v>5092</v>
      </c>
      <c r="AO22" s="9">
        <f t="shared" si="6"/>
        <v>7638</v>
      </c>
      <c r="AP22" s="9">
        <f t="shared" si="6"/>
        <v>2546</v>
      </c>
      <c r="AQ22" s="9">
        <f t="shared" si="6"/>
        <v>2546</v>
      </c>
      <c r="AR22" s="9">
        <f t="shared" si="6"/>
        <v>0</v>
      </c>
      <c r="AS22" s="9">
        <f t="shared" si="6"/>
        <v>0</v>
      </c>
      <c r="AT22" s="9">
        <f t="shared" si="6"/>
        <v>2546</v>
      </c>
    </row>
    <row r="23" spans="2:46" x14ac:dyDescent="0.25">
      <c r="B23" s="2" t="s">
        <v>42</v>
      </c>
      <c r="C23" s="1">
        <v>160000</v>
      </c>
      <c r="D23" s="6">
        <v>0.34</v>
      </c>
      <c r="E23" s="6">
        <v>0.42</v>
      </c>
      <c r="F23" s="6">
        <v>0.08</v>
      </c>
      <c r="G23" s="6">
        <v>0.1</v>
      </c>
      <c r="H23" s="6">
        <v>0.06</v>
      </c>
      <c r="I23" s="6">
        <f t="shared" si="7"/>
        <v>1</v>
      </c>
      <c r="J23" s="5">
        <v>0.79</v>
      </c>
      <c r="K23" s="5"/>
      <c r="L23" s="5">
        <v>0.02</v>
      </c>
      <c r="M23" s="5"/>
      <c r="N23" s="5"/>
      <c r="O23" s="5"/>
      <c r="P23" s="5"/>
      <c r="Q23" s="5">
        <v>0.03</v>
      </c>
      <c r="R23" s="5">
        <v>0.05</v>
      </c>
      <c r="S23" s="5">
        <v>0.09</v>
      </c>
      <c r="T23" s="5">
        <v>0.01</v>
      </c>
      <c r="U23" s="5">
        <v>0.01</v>
      </c>
      <c r="V23" s="5"/>
      <c r="W23" s="5"/>
      <c r="X23" s="5"/>
      <c r="Z23" s="6">
        <f t="shared" si="4"/>
        <v>1</v>
      </c>
      <c r="AB23" s="9">
        <f t="shared" si="5"/>
        <v>126400</v>
      </c>
      <c r="AC23" s="9">
        <f t="shared" si="8"/>
        <v>42976</v>
      </c>
      <c r="AD23" s="9">
        <f t="shared" si="8"/>
        <v>53088</v>
      </c>
      <c r="AE23" s="9">
        <f t="shared" si="8"/>
        <v>10112.000000000002</v>
      </c>
      <c r="AF23" s="9">
        <f t="shared" si="8"/>
        <v>12640.000000000002</v>
      </c>
      <c r="AG23" s="9">
        <f t="shared" si="8"/>
        <v>7584</v>
      </c>
      <c r="AH23" s="9">
        <f t="shared" si="9"/>
        <v>0</v>
      </c>
      <c r="AI23" s="9">
        <f t="shared" si="9"/>
        <v>3200</v>
      </c>
      <c r="AJ23" s="9">
        <f t="shared" si="6"/>
        <v>0</v>
      </c>
      <c r="AK23" s="9">
        <f t="shared" si="6"/>
        <v>0</v>
      </c>
      <c r="AL23" s="9">
        <f t="shared" si="6"/>
        <v>0</v>
      </c>
      <c r="AM23" s="9">
        <f t="shared" si="6"/>
        <v>4800</v>
      </c>
      <c r="AN23" s="9">
        <f t="shared" si="6"/>
        <v>8000</v>
      </c>
      <c r="AO23" s="9">
        <f t="shared" si="6"/>
        <v>14400</v>
      </c>
      <c r="AP23" s="9">
        <f t="shared" si="6"/>
        <v>1600</v>
      </c>
      <c r="AQ23" s="9">
        <f t="shared" si="6"/>
        <v>1600</v>
      </c>
      <c r="AR23" s="9">
        <f t="shared" si="6"/>
        <v>0</v>
      </c>
      <c r="AS23" s="9">
        <f t="shared" si="6"/>
        <v>0</v>
      </c>
      <c r="AT23" s="9">
        <f t="shared" si="6"/>
        <v>0</v>
      </c>
    </row>
    <row r="24" spans="2:46" x14ac:dyDescent="0.25">
      <c r="B24" s="2" t="s">
        <v>43</v>
      </c>
      <c r="C24" s="1">
        <v>46000</v>
      </c>
      <c r="D24" s="6">
        <v>0.15</v>
      </c>
      <c r="E24" s="6">
        <v>0.85</v>
      </c>
      <c r="F24" s="6"/>
      <c r="G24" s="6"/>
      <c r="H24" s="6"/>
      <c r="I24" s="6">
        <f t="shared" si="7"/>
        <v>1</v>
      </c>
      <c r="J24" s="5">
        <v>0.09</v>
      </c>
      <c r="K24" s="5"/>
      <c r="L24" s="5">
        <v>0.01</v>
      </c>
      <c r="M24" s="5"/>
      <c r="N24" s="5"/>
      <c r="O24" s="5">
        <f>0.79*0.6</f>
        <v>0.47399999999999998</v>
      </c>
      <c r="P24" s="5"/>
      <c r="Q24" s="5">
        <f>0.79*0.4</f>
        <v>0.31600000000000006</v>
      </c>
      <c r="R24" s="5">
        <v>0.02</v>
      </c>
      <c r="S24" s="5">
        <v>0.03</v>
      </c>
      <c r="T24" s="5">
        <v>0.05</v>
      </c>
      <c r="U24" s="5">
        <v>0.01</v>
      </c>
      <c r="V24" s="5"/>
      <c r="W24" s="5"/>
      <c r="X24" s="5"/>
      <c r="Z24" s="6">
        <f t="shared" si="4"/>
        <v>1</v>
      </c>
      <c r="AB24" s="9">
        <f t="shared" si="5"/>
        <v>4140</v>
      </c>
      <c r="AC24" s="9">
        <f t="shared" si="8"/>
        <v>621</v>
      </c>
      <c r="AD24" s="9">
        <f t="shared" si="8"/>
        <v>3519</v>
      </c>
      <c r="AE24" s="9">
        <f t="shared" si="8"/>
        <v>0</v>
      </c>
      <c r="AF24" s="9">
        <f t="shared" si="8"/>
        <v>0</v>
      </c>
      <c r="AG24" s="9">
        <f t="shared" si="8"/>
        <v>0</v>
      </c>
      <c r="AH24" s="9">
        <f t="shared" si="9"/>
        <v>0</v>
      </c>
      <c r="AI24" s="9">
        <f t="shared" si="9"/>
        <v>460</v>
      </c>
      <c r="AJ24" s="9">
        <f t="shared" si="6"/>
        <v>0</v>
      </c>
      <c r="AK24" s="9">
        <f t="shared" si="6"/>
        <v>21804</v>
      </c>
      <c r="AL24" s="9">
        <f t="shared" si="6"/>
        <v>0</v>
      </c>
      <c r="AM24" s="9">
        <f t="shared" si="6"/>
        <v>14536.000000000002</v>
      </c>
      <c r="AN24" s="9">
        <f t="shared" si="6"/>
        <v>920</v>
      </c>
      <c r="AO24" s="9">
        <f t="shared" si="6"/>
        <v>1380</v>
      </c>
      <c r="AP24" s="9">
        <f t="shared" si="6"/>
        <v>2300</v>
      </c>
      <c r="AQ24" s="9">
        <f t="shared" si="6"/>
        <v>460</v>
      </c>
      <c r="AR24" s="9">
        <f t="shared" si="6"/>
        <v>0</v>
      </c>
      <c r="AS24" s="9">
        <f t="shared" si="6"/>
        <v>0</v>
      </c>
      <c r="AT24" s="9">
        <f t="shared" si="6"/>
        <v>0</v>
      </c>
    </row>
    <row r="25" spans="2:46" x14ac:dyDescent="0.25">
      <c r="B25" s="2" t="s">
        <v>44</v>
      </c>
      <c r="C25" s="1">
        <v>158800</v>
      </c>
      <c r="D25" s="6">
        <v>1</v>
      </c>
      <c r="E25" s="6"/>
      <c r="F25" s="6"/>
      <c r="G25" s="6"/>
      <c r="H25" s="6"/>
      <c r="I25" s="6">
        <f t="shared" si="7"/>
        <v>1</v>
      </c>
      <c r="J25" s="5">
        <v>0.96</v>
      </c>
      <c r="K25" s="5">
        <f>0.02*0.65</f>
        <v>1.3000000000000001E-2</v>
      </c>
      <c r="L25" s="5">
        <f>0.02*0.35</f>
        <v>6.9999999999999993E-3</v>
      </c>
      <c r="M25" s="5"/>
      <c r="N25" s="5"/>
      <c r="O25" s="5"/>
      <c r="P25" s="5"/>
      <c r="Q25" s="5"/>
      <c r="R25" s="5"/>
      <c r="S25" s="5">
        <v>0.01</v>
      </c>
      <c r="T25" s="5"/>
      <c r="U25" s="5"/>
      <c r="V25" s="5"/>
      <c r="W25" s="5"/>
      <c r="X25" s="5">
        <v>0.01</v>
      </c>
      <c r="Z25" s="6">
        <f t="shared" si="4"/>
        <v>1</v>
      </c>
      <c r="AB25" s="9">
        <f t="shared" si="5"/>
        <v>152448</v>
      </c>
      <c r="AC25" s="9">
        <f t="shared" si="8"/>
        <v>152448</v>
      </c>
      <c r="AD25" s="9">
        <f t="shared" si="8"/>
        <v>0</v>
      </c>
      <c r="AE25" s="9">
        <f t="shared" si="8"/>
        <v>0</v>
      </c>
      <c r="AF25" s="9">
        <f t="shared" si="8"/>
        <v>0</v>
      </c>
      <c r="AG25" s="9">
        <f t="shared" si="8"/>
        <v>0</v>
      </c>
      <c r="AH25" s="9">
        <f t="shared" si="9"/>
        <v>2064.4</v>
      </c>
      <c r="AI25" s="9">
        <f t="shared" si="9"/>
        <v>1111.5999999999999</v>
      </c>
      <c r="AJ25" s="9">
        <f t="shared" si="6"/>
        <v>0</v>
      </c>
      <c r="AK25" s="9">
        <f t="shared" si="6"/>
        <v>0</v>
      </c>
      <c r="AL25" s="9">
        <f t="shared" si="6"/>
        <v>0</v>
      </c>
      <c r="AM25" s="9">
        <f t="shared" si="6"/>
        <v>0</v>
      </c>
      <c r="AN25" s="9">
        <f t="shared" si="6"/>
        <v>0</v>
      </c>
      <c r="AO25" s="9">
        <f t="shared" si="6"/>
        <v>1588</v>
      </c>
      <c r="AP25" s="9">
        <f t="shared" si="6"/>
        <v>0</v>
      </c>
      <c r="AQ25" s="9">
        <f t="shared" si="6"/>
        <v>0</v>
      </c>
      <c r="AR25" s="9">
        <f t="shared" si="6"/>
        <v>0</v>
      </c>
      <c r="AS25" s="9">
        <f t="shared" si="6"/>
        <v>0</v>
      </c>
      <c r="AT25" s="9">
        <f t="shared" si="6"/>
        <v>1588</v>
      </c>
    </row>
    <row r="26" spans="2:46" x14ac:dyDescent="0.25">
      <c r="B26" s="2" t="s">
        <v>45</v>
      </c>
      <c r="C26" s="1">
        <v>71000</v>
      </c>
      <c r="D26" s="6">
        <v>0.15</v>
      </c>
      <c r="E26" s="6">
        <v>0.85</v>
      </c>
      <c r="F26" s="6"/>
      <c r="G26" s="6"/>
      <c r="H26" s="6"/>
      <c r="I26" s="6">
        <f t="shared" si="7"/>
        <v>1</v>
      </c>
      <c r="J26" s="5">
        <v>0.83</v>
      </c>
      <c r="K26" s="5"/>
      <c r="L26" s="5">
        <v>0.15</v>
      </c>
      <c r="M26" s="5"/>
      <c r="N26" s="5"/>
      <c r="O26" s="5"/>
      <c r="P26" s="5"/>
      <c r="Q26" s="5"/>
      <c r="R26" s="5"/>
      <c r="S26" s="5">
        <v>0.01</v>
      </c>
      <c r="T26" s="5"/>
      <c r="U26" s="5"/>
      <c r="V26" s="5"/>
      <c r="W26" s="5"/>
      <c r="X26" s="5">
        <v>0.01</v>
      </c>
      <c r="Z26" s="6">
        <f t="shared" si="4"/>
        <v>1</v>
      </c>
      <c r="AB26" s="9">
        <f t="shared" si="5"/>
        <v>58930</v>
      </c>
      <c r="AC26" s="9">
        <f t="shared" si="8"/>
        <v>8839.4999999999982</v>
      </c>
      <c r="AD26" s="9">
        <f t="shared" si="8"/>
        <v>50090.499999999993</v>
      </c>
      <c r="AE26" s="9">
        <f t="shared" si="8"/>
        <v>0</v>
      </c>
      <c r="AF26" s="9">
        <f t="shared" si="8"/>
        <v>0</v>
      </c>
      <c r="AG26" s="9">
        <f t="shared" si="8"/>
        <v>0</v>
      </c>
      <c r="AH26" s="9">
        <f t="shared" si="9"/>
        <v>0</v>
      </c>
      <c r="AI26" s="9">
        <f t="shared" si="9"/>
        <v>10650</v>
      </c>
      <c r="AJ26" s="9">
        <f t="shared" si="6"/>
        <v>0</v>
      </c>
      <c r="AK26" s="9">
        <f t="shared" si="6"/>
        <v>0</v>
      </c>
      <c r="AL26" s="9">
        <f t="shared" si="6"/>
        <v>0</v>
      </c>
      <c r="AM26" s="9">
        <f t="shared" si="6"/>
        <v>0</v>
      </c>
      <c r="AN26" s="9">
        <f t="shared" si="6"/>
        <v>0</v>
      </c>
      <c r="AO26" s="9">
        <f t="shared" si="6"/>
        <v>710</v>
      </c>
      <c r="AP26" s="9">
        <f t="shared" si="6"/>
        <v>0</v>
      </c>
      <c r="AQ26" s="9">
        <f t="shared" si="6"/>
        <v>0</v>
      </c>
      <c r="AR26" s="9">
        <f t="shared" si="6"/>
        <v>0</v>
      </c>
      <c r="AS26" s="9">
        <f t="shared" si="6"/>
        <v>0</v>
      </c>
      <c r="AT26" s="9">
        <f t="shared" si="6"/>
        <v>710</v>
      </c>
    </row>
    <row r="27" spans="2:46" x14ac:dyDescent="0.25">
      <c r="B27" s="2" t="s">
        <v>46</v>
      </c>
      <c r="C27" s="1">
        <v>700000</v>
      </c>
      <c r="D27" s="6">
        <v>0.1</v>
      </c>
      <c r="E27" s="6">
        <v>0.7</v>
      </c>
      <c r="F27" s="6">
        <v>0.08</v>
      </c>
      <c r="G27" s="6">
        <v>0.12</v>
      </c>
      <c r="H27" s="6"/>
      <c r="I27" s="6">
        <f t="shared" si="7"/>
        <v>0.99999999999999989</v>
      </c>
      <c r="J27" s="5">
        <v>0.25</v>
      </c>
      <c r="K27" s="5"/>
      <c r="L27" s="5"/>
      <c r="M27" s="5"/>
      <c r="N27" s="5"/>
      <c r="O27" s="5"/>
      <c r="P27" s="5"/>
      <c r="Q27" s="5"/>
      <c r="R27" s="5">
        <v>0.02</v>
      </c>
      <c r="S27" s="5">
        <v>0.05</v>
      </c>
      <c r="T27" s="5"/>
      <c r="U27" s="5">
        <v>0.03</v>
      </c>
      <c r="V27" s="5">
        <v>0.45</v>
      </c>
      <c r="W27" s="5">
        <v>0.1</v>
      </c>
      <c r="X27" s="5">
        <v>0.1</v>
      </c>
      <c r="Z27" s="6">
        <f t="shared" si="4"/>
        <v>1</v>
      </c>
      <c r="AB27" s="9">
        <f t="shared" si="5"/>
        <v>175000</v>
      </c>
      <c r="AC27" s="9">
        <f t="shared" si="8"/>
        <v>17500</v>
      </c>
      <c r="AD27" s="9">
        <f t="shared" si="8"/>
        <v>122499.99999999999</v>
      </c>
      <c r="AE27" s="9">
        <f t="shared" si="8"/>
        <v>14000</v>
      </c>
      <c r="AF27" s="9">
        <f t="shared" si="8"/>
        <v>21000</v>
      </c>
      <c r="AG27" s="9">
        <f t="shared" si="8"/>
        <v>0</v>
      </c>
      <c r="AH27" s="9">
        <f t="shared" si="9"/>
        <v>0</v>
      </c>
      <c r="AI27" s="9">
        <f t="shared" si="9"/>
        <v>0</v>
      </c>
      <c r="AJ27" s="9">
        <f t="shared" si="6"/>
        <v>0</v>
      </c>
      <c r="AK27" s="9">
        <f t="shared" si="6"/>
        <v>0</v>
      </c>
      <c r="AL27" s="9">
        <f t="shared" si="6"/>
        <v>0</v>
      </c>
      <c r="AM27" s="9">
        <f t="shared" si="6"/>
        <v>0</v>
      </c>
      <c r="AN27" s="9">
        <f t="shared" si="6"/>
        <v>14000</v>
      </c>
      <c r="AO27" s="9">
        <f t="shared" si="6"/>
        <v>35000</v>
      </c>
      <c r="AP27" s="9">
        <f t="shared" si="6"/>
        <v>0</v>
      </c>
      <c r="AQ27" s="9">
        <f t="shared" si="6"/>
        <v>21000</v>
      </c>
      <c r="AR27" s="9">
        <f t="shared" si="6"/>
        <v>315000</v>
      </c>
      <c r="AS27" s="9">
        <f t="shared" si="6"/>
        <v>70000</v>
      </c>
      <c r="AT27" s="9">
        <f t="shared" si="6"/>
        <v>70000</v>
      </c>
    </row>
    <row r="28" spans="2:46" x14ac:dyDescent="0.25">
      <c r="B28" s="2" t="s">
        <v>47</v>
      </c>
      <c r="C28" s="1">
        <v>1800000</v>
      </c>
      <c r="D28" s="6">
        <v>0.5</v>
      </c>
      <c r="E28" s="6">
        <v>0.4</v>
      </c>
      <c r="F28" s="6"/>
      <c r="G28" s="6">
        <v>0.1</v>
      </c>
      <c r="H28" s="6"/>
      <c r="I28" s="6">
        <f t="shared" si="7"/>
        <v>1</v>
      </c>
      <c r="J28" s="5">
        <v>0.75</v>
      </c>
      <c r="K28" s="5"/>
      <c r="L28" s="5">
        <v>0.01</v>
      </c>
      <c r="M28" s="5"/>
      <c r="N28" s="5"/>
      <c r="O28" s="5">
        <f>0.08*0.4</f>
        <v>3.2000000000000001E-2</v>
      </c>
      <c r="P28" s="5"/>
      <c r="Q28" s="5">
        <f>0.08*0.6</f>
        <v>4.8000000000000001E-2</v>
      </c>
      <c r="R28" s="5">
        <v>0.06</v>
      </c>
      <c r="S28" s="5">
        <v>0.05</v>
      </c>
      <c r="T28" s="5">
        <v>0.02</v>
      </c>
      <c r="U28" s="5"/>
      <c r="V28" s="5"/>
      <c r="W28" s="5"/>
      <c r="X28" s="5">
        <v>0.03</v>
      </c>
      <c r="Z28" s="6">
        <f t="shared" si="4"/>
        <v>1.0000000000000002</v>
      </c>
      <c r="AB28" s="9">
        <f t="shared" si="5"/>
        <v>1350000</v>
      </c>
      <c r="AC28" s="9">
        <f t="shared" si="8"/>
        <v>675000</v>
      </c>
      <c r="AD28" s="9">
        <f t="shared" si="8"/>
        <v>540000.00000000012</v>
      </c>
      <c r="AE28" s="9">
        <f t="shared" si="8"/>
        <v>0</v>
      </c>
      <c r="AF28" s="9">
        <f t="shared" si="8"/>
        <v>135000.00000000003</v>
      </c>
      <c r="AG28" s="9">
        <f t="shared" si="8"/>
        <v>0</v>
      </c>
      <c r="AH28" s="9">
        <f t="shared" si="9"/>
        <v>0</v>
      </c>
      <c r="AI28" s="9">
        <f t="shared" si="9"/>
        <v>18000</v>
      </c>
      <c r="AJ28" s="9">
        <f t="shared" si="6"/>
        <v>0</v>
      </c>
      <c r="AK28" s="9">
        <f t="shared" si="6"/>
        <v>57600</v>
      </c>
      <c r="AL28" s="9">
        <f t="shared" si="6"/>
        <v>0</v>
      </c>
      <c r="AM28" s="9">
        <f t="shared" si="6"/>
        <v>86400</v>
      </c>
      <c r="AN28" s="9">
        <f t="shared" si="6"/>
        <v>108000</v>
      </c>
      <c r="AO28" s="9">
        <f t="shared" si="6"/>
        <v>90000</v>
      </c>
      <c r="AP28" s="9">
        <f t="shared" si="6"/>
        <v>36000</v>
      </c>
      <c r="AQ28" s="9">
        <f t="shared" si="6"/>
        <v>0</v>
      </c>
      <c r="AR28" s="9">
        <f t="shared" si="6"/>
        <v>0</v>
      </c>
      <c r="AS28" s="9">
        <f t="shared" si="6"/>
        <v>0</v>
      </c>
      <c r="AT28" s="9">
        <f t="shared" si="6"/>
        <v>54000</v>
      </c>
    </row>
    <row r="29" spans="2:46" x14ac:dyDescent="0.25">
      <c r="B29" s="2" t="s">
        <v>48</v>
      </c>
      <c r="C29" s="1">
        <v>275000</v>
      </c>
      <c r="D29" s="6">
        <v>0.08</v>
      </c>
      <c r="E29" s="6">
        <v>0.12</v>
      </c>
      <c r="F29" s="6">
        <v>0.8</v>
      </c>
      <c r="G29" s="6"/>
      <c r="H29" s="6"/>
      <c r="I29" s="6">
        <f t="shared" si="7"/>
        <v>1</v>
      </c>
      <c r="J29" s="5">
        <v>0.96</v>
      </c>
      <c r="K29" s="5">
        <f>0.02*0.3</f>
        <v>6.0000000000000001E-3</v>
      </c>
      <c r="L29" s="5">
        <f>0.02*0.7</f>
        <v>1.3999999999999999E-2</v>
      </c>
      <c r="M29" s="5"/>
      <c r="N29" s="5"/>
      <c r="O29" s="5"/>
      <c r="P29" s="5"/>
      <c r="Q29" s="5"/>
      <c r="R29" s="5"/>
      <c r="S29" s="5">
        <v>0.01</v>
      </c>
      <c r="T29" s="5"/>
      <c r="U29" s="5"/>
      <c r="V29" s="5"/>
      <c r="W29" s="5"/>
      <c r="X29" s="5">
        <v>0.01</v>
      </c>
      <c r="Z29" s="6">
        <f t="shared" si="4"/>
        <v>1</v>
      </c>
      <c r="AB29" s="9">
        <f t="shared" si="5"/>
        <v>264000</v>
      </c>
      <c r="AC29" s="9">
        <f t="shared" si="8"/>
        <v>21119.999999999996</v>
      </c>
      <c r="AD29" s="9">
        <f t="shared" si="8"/>
        <v>31680</v>
      </c>
      <c r="AE29" s="9">
        <f t="shared" si="8"/>
        <v>211200</v>
      </c>
      <c r="AF29" s="9">
        <f t="shared" si="8"/>
        <v>0</v>
      </c>
      <c r="AG29" s="9">
        <f t="shared" si="8"/>
        <v>0</v>
      </c>
      <c r="AH29" s="9">
        <f t="shared" si="9"/>
        <v>1650</v>
      </c>
      <c r="AI29" s="9">
        <f t="shared" si="9"/>
        <v>3849.9999999999995</v>
      </c>
      <c r="AJ29" s="9">
        <f t="shared" si="6"/>
        <v>0</v>
      </c>
      <c r="AK29" s="9">
        <f t="shared" si="6"/>
        <v>0</v>
      </c>
      <c r="AL29" s="9">
        <f t="shared" si="6"/>
        <v>0</v>
      </c>
      <c r="AM29" s="9">
        <f t="shared" si="6"/>
        <v>0</v>
      </c>
      <c r="AN29" s="9">
        <f t="shared" si="6"/>
        <v>0</v>
      </c>
      <c r="AO29" s="9">
        <f t="shared" si="6"/>
        <v>2750</v>
      </c>
      <c r="AP29" s="9">
        <f t="shared" si="6"/>
        <v>0</v>
      </c>
      <c r="AQ29" s="9">
        <f t="shared" si="6"/>
        <v>0</v>
      </c>
      <c r="AR29" s="9">
        <f t="shared" si="6"/>
        <v>0</v>
      </c>
      <c r="AS29" s="9">
        <f t="shared" si="6"/>
        <v>0</v>
      </c>
      <c r="AT29" s="9">
        <f t="shared" si="6"/>
        <v>2750</v>
      </c>
    </row>
    <row r="30" spans="2:46" x14ac:dyDescent="0.25">
      <c r="B30" s="2" t="s">
        <v>49</v>
      </c>
      <c r="C30" s="1">
        <v>41000</v>
      </c>
      <c r="D30" s="6">
        <v>0.85</v>
      </c>
      <c r="E30" s="6">
        <v>0.15</v>
      </c>
      <c r="F30" s="6"/>
      <c r="G30" s="6"/>
      <c r="H30" s="6"/>
      <c r="I30" s="6">
        <f t="shared" si="7"/>
        <v>1</v>
      </c>
      <c r="J30" s="5">
        <v>0.01</v>
      </c>
      <c r="K30" s="5"/>
      <c r="L30" s="5"/>
      <c r="M30" s="5"/>
      <c r="N30" s="5"/>
      <c r="O30" s="5">
        <f>0.97*0.7</f>
        <v>0.67899999999999994</v>
      </c>
      <c r="P30" s="5">
        <f>0.97*0.3</f>
        <v>0.29099999999999998</v>
      </c>
      <c r="Q30" s="5"/>
      <c r="R30" s="5"/>
      <c r="S30" s="5"/>
      <c r="T30" s="5">
        <v>0.02</v>
      </c>
      <c r="U30" s="5"/>
      <c r="V30" s="5"/>
      <c r="W30" s="5"/>
      <c r="X30" s="5"/>
      <c r="Z30" s="6">
        <f t="shared" si="4"/>
        <v>1</v>
      </c>
      <c r="AB30" s="9">
        <f t="shared" si="5"/>
        <v>410</v>
      </c>
      <c r="AC30" s="9">
        <f t="shared" si="8"/>
        <v>348.5</v>
      </c>
      <c r="AD30" s="9">
        <f t="shared" si="8"/>
        <v>61.5</v>
      </c>
      <c r="AE30" s="9">
        <f t="shared" si="8"/>
        <v>0</v>
      </c>
      <c r="AF30" s="9">
        <f t="shared" si="8"/>
        <v>0</v>
      </c>
      <c r="AG30" s="9">
        <f t="shared" si="8"/>
        <v>0</v>
      </c>
      <c r="AH30" s="9">
        <f t="shared" si="9"/>
        <v>0</v>
      </c>
      <c r="AI30" s="9">
        <f t="shared" si="9"/>
        <v>0</v>
      </c>
      <c r="AJ30" s="9">
        <f t="shared" si="6"/>
        <v>0</v>
      </c>
      <c r="AK30" s="9">
        <f t="shared" si="6"/>
        <v>27838.999999999996</v>
      </c>
      <c r="AL30" s="9">
        <f t="shared" si="6"/>
        <v>11931</v>
      </c>
      <c r="AM30" s="9">
        <f t="shared" si="6"/>
        <v>0</v>
      </c>
      <c r="AN30" s="9">
        <f t="shared" si="6"/>
        <v>0</v>
      </c>
      <c r="AO30" s="9">
        <f t="shared" si="6"/>
        <v>0</v>
      </c>
      <c r="AP30" s="9">
        <f t="shared" si="6"/>
        <v>820</v>
      </c>
      <c r="AQ30" s="9">
        <f t="shared" si="6"/>
        <v>0</v>
      </c>
      <c r="AR30" s="9">
        <f t="shared" si="6"/>
        <v>0</v>
      </c>
      <c r="AS30" s="9">
        <f t="shared" si="6"/>
        <v>0</v>
      </c>
      <c r="AT30" s="9">
        <f t="shared" si="6"/>
        <v>0</v>
      </c>
    </row>
    <row r="31" spans="2:46" x14ac:dyDescent="0.25">
      <c r="B31" s="2" t="s">
        <v>50</v>
      </c>
      <c r="C31" s="1">
        <v>266000</v>
      </c>
      <c r="D31" s="6">
        <v>0.8</v>
      </c>
      <c r="E31" s="6">
        <v>0.12</v>
      </c>
      <c r="F31" s="6"/>
      <c r="G31" s="6"/>
      <c r="H31" s="6">
        <v>0.08</v>
      </c>
      <c r="I31" s="6">
        <f t="shared" si="7"/>
        <v>1</v>
      </c>
      <c r="J31" s="5">
        <v>0.79</v>
      </c>
      <c r="K31" s="5"/>
      <c r="L31" s="5">
        <v>0.03</v>
      </c>
      <c r="M31" s="5"/>
      <c r="N31" s="5"/>
      <c r="O31" s="5">
        <v>0.09</v>
      </c>
      <c r="P31" s="5"/>
      <c r="Q31" s="5"/>
      <c r="R31" s="5">
        <v>0.02</v>
      </c>
      <c r="S31" s="5">
        <v>0.05</v>
      </c>
      <c r="T31" s="5">
        <v>0.01</v>
      </c>
      <c r="U31" s="5">
        <v>0.01</v>
      </c>
      <c r="V31" s="5"/>
      <c r="W31" s="5"/>
      <c r="X31" s="5"/>
      <c r="Z31" s="6">
        <f t="shared" si="4"/>
        <v>1</v>
      </c>
      <c r="AB31" s="9">
        <f t="shared" si="5"/>
        <v>210140</v>
      </c>
      <c r="AC31" s="9">
        <f t="shared" si="8"/>
        <v>168112.00000000003</v>
      </c>
      <c r="AD31" s="9">
        <f t="shared" si="8"/>
        <v>25216.799999999999</v>
      </c>
      <c r="AE31" s="9">
        <f t="shared" si="8"/>
        <v>0</v>
      </c>
      <c r="AF31" s="9">
        <f t="shared" si="8"/>
        <v>0</v>
      </c>
      <c r="AG31" s="9">
        <f t="shared" si="8"/>
        <v>16811.2</v>
      </c>
      <c r="AH31" s="9">
        <f t="shared" si="9"/>
        <v>0</v>
      </c>
      <c r="AI31" s="9">
        <f t="shared" si="9"/>
        <v>7980</v>
      </c>
      <c r="AJ31" s="9">
        <f t="shared" si="6"/>
        <v>0</v>
      </c>
      <c r="AK31" s="9">
        <f t="shared" si="6"/>
        <v>23940</v>
      </c>
      <c r="AL31" s="9">
        <f t="shared" si="6"/>
        <v>0</v>
      </c>
      <c r="AM31" s="9">
        <f t="shared" si="6"/>
        <v>0</v>
      </c>
      <c r="AN31" s="9">
        <f t="shared" si="6"/>
        <v>5320</v>
      </c>
      <c r="AO31" s="9">
        <f t="shared" si="6"/>
        <v>13300</v>
      </c>
      <c r="AP31" s="9">
        <f t="shared" si="6"/>
        <v>2660</v>
      </c>
      <c r="AQ31" s="9">
        <f t="shared" si="6"/>
        <v>2660</v>
      </c>
      <c r="AR31" s="9">
        <f t="shared" si="6"/>
        <v>0</v>
      </c>
      <c r="AS31" s="9">
        <f t="shared" si="6"/>
        <v>0</v>
      </c>
      <c r="AT31" s="9">
        <f t="shared" si="6"/>
        <v>0</v>
      </c>
    </row>
    <row r="32" spans="2:46" x14ac:dyDescent="0.25">
      <c r="B32" s="2" t="s">
        <v>51</v>
      </c>
      <c r="C32" s="1">
        <v>2618200</v>
      </c>
      <c r="D32" s="6">
        <v>0.1</v>
      </c>
      <c r="E32" s="6">
        <v>0.5</v>
      </c>
      <c r="F32" s="6"/>
      <c r="G32" s="6">
        <v>0.4</v>
      </c>
      <c r="H32" s="6"/>
      <c r="I32" s="6">
        <f t="shared" si="7"/>
        <v>1</v>
      </c>
      <c r="J32" s="5">
        <v>0.83</v>
      </c>
      <c r="K32" s="5"/>
      <c r="L32" s="5"/>
      <c r="M32" s="5"/>
      <c r="N32" s="5"/>
      <c r="O32" s="5"/>
      <c r="P32" s="5"/>
      <c r="Q32" s="5"/>
      <c r="R32" s="5"/>
      <c r="S32" s="5">
        <v>0.02</v>
      </c>
      <c r="T32" s="5"/>
      <c r="U32" s="5">
        <v>0.01</v>
      </c>
      <c r="V32" s="5">
        <v>0.09</v>
      </c>
      <c r="W32" s="5">
        <v>0.03</v>
      </c>
      <c r="X32" s="5">
        <v>0.02</v>
      </c>
      <c r="Z32" s="6">
        <f t="shared" si="4"/>
        <v>1</v>
      </c>
      <c r="AB32" s="9">
        <f t="shared" si="5"/>
        <v>2173106</v>
      </c>
      <c r="AC32" s="9">
        <f t="shared" si="8"/>
        <v>217310.6</v>
      </c>
      <c r="AD32" s="9">
        <f t="shared" si="8"/>
        <v>1086553</v>
      </c>
      <c r="AE32" s="9">
        <f t="shared" si="8"/>
        <v>0</v>
      </c>
      <c r="AF32" s="9">
        <f t="shared" si="8"/>
        <v>869242.4</v>
      </c>
      <c r="AG32" s="9">
        <f t="shared" si="8"/>
        <v>0</v>
      </c>
      <c r="AH32" s="9">
        <f t="shared" si="9"/>
        <v>0</v>
      </c>
      <c r="AI32" s="9">
        <f t="shared" si="9"/>
        <v>0</v>
      </c>
      <c r="AJ32" s="9">
        <f t="shared" si="6"/>
        <v>0</v>
      </c>
      <c r="AK32" s="9">
        <f t="shared" si="6"/>
        <v>0</v>
      </c>
      <c r="AL32" s="9">
        <f t="shared" si="6"/>
        <v>0</v>
      </c>
      <c r="AM32" s="9">
        <f t="shared" si="6"/>
        <v>0</v>
      </c>
      <c r="AN32" s="9">
        <f t="shared" si="6"/>
        <v>0</v>
      </c>
      <c r="AO32" s="9">
        <f t="shared" si="6"/>
        <v>52364</v>
      </c>
      <c r="AP32" s="9">
        <f t="shared" si="6"/>
        <v>0</v>
      </c>
      <c r="AQ32" s="9">
        <f t="shared" si="6"/>
        <v>26182</v>
      </c>
      <c r="AR32" s="9">
        <f t="shared" si="6"/>
        <v>235638</v>
      </c>
      <c r="AS32" s="9">
        <f t="shared" si="6"/>
        <v>78546</v>
      </c>
      <c r="AT32" s="9">
        <f t="shared" si="6"/>
        <v>52364</v>
      </c>
    </row>
    <row r="33" spans="2:46" x14ac:dyDescent="0.25">
      <c r="B33" s="2" t="s">
        <v>52</v>
      </c>
      <c r="C33" s="1">
        <v>2618200</v>
      </c>
      <c r="D33" s="6">
        <v>0.15</v>
      </c>
      <c r="E33" s="6">
        <v>0.85</v>
      </c>
      <c r="F33" s="6"/>
      <c r="G33" s="6"/>
      <c r="H33" s="6"/>
      <c r="I33" s="6">
        <f t="shared" si="7"/>
        <v>1</v>
      </c>
      <c r="J33" s="5">
        <v>0.79</v>
      </c>
      <c r="K33" s="5"/>
      <c r="L33" s="5">
        <v>0.03</v>
      </c>
      <c r="M33" s="5"/>
      <c r="N33" s="5"/>
      <c r="O33" s="5">
        <f>0.1*0.09</f>
        <v>8.9999999999999993E-3</v>
      </c>
      <c r="P33" s="5"/>
      <c r="Q33" s="5">
        <f>0.9*0.09</f>
        <v>8.1000000000000003E-2</v>
      </c>
      <c r="R33" s="5">
        <v>0.02</v>
      </c>
      <c r="S33" s="5">
        <v>0.05</v>
      </c>
      <c r="T33" s="5">
        <v>0.01</v>
      </c>
      <c r="U33" s="5">
        <v>0.01</v>
      </c>
      <c r="V33" s="5"/>
      <c r="W33" s="5"/>
      <c r="X33" s="5"/>
      <c r="Z33" s="6">
        <f t="shared" si="4"/>
        <v>1</v>
      </c>
      <c r="AB33" s="9">
        <f t="shared" si="5"/>
        <v>2068378</v>
      </c>
      <c r="AC33" s="9">
        <f t="shared" si="8"/>
        <v>310256.7</v>
      </c>
      <c r="AD33" s="9">
        <f t="shared" si="8"/>
        <v>1758121.3</v>
      </c>
      <c r="AE33" s="9">
        <f t="shared" si="8"/>
        <v>0</v>
      </c>
      <c r="AF33" s="9">
        <f t="shared" si="8"/>
        <v>0</v>
      </c>
      <c r="AG33" s="9">
        <f t="shared" si="8"/>
        <v>0</v>
      </c>
      <c r="AH33" s="9">
        <f t="shared" si="9"/>
        <v>0</v>
      </c>
      <c r="AI33" s="9">
        <f t="shared" si="9"/>
        <v>78546</v>
      </c>
      <c r="AJ33" s="9">
        <f t="shared" si="6"/>
        <v>0</v>
      </c>
      <c r="AK33" s="9">
        <f t="shared" si="6"/>
        <v>23563.8</v>
      </c>
      <c r="AL33" s="9">
        <f t="shared" ref="AL33:AT61" si="10">$C33*P33</f>
        <v>0</v>
      </c>
      <c r="AM33" s="9">
        <f t="shared" si="10"/>
        <v>212074.2</v>
      </c>
      <c r="AN33" s="9">
        <f t="shared" si="10"/>
        <v>52364</v>
      </c>
      <c r="AO33" s="9">
        <f t="shared" si="10"/>
        <v>130910</v>
      </c>
      <c r="AP33" s="9">
        <f t="shared" si="10"/>
        <v>26182</v>
      </c>
      <c r="AQ33" s="9">
        <f t="shared" si="10"/>
        <v>26182</v>
      </c>
      <c r="AR33" s="9">
        <f t="shared" si="10"/>
        <v>0</v>
      </c>
      <c r="AS33" s="9">
        <f t="shared" si="10"/>
        <v>0</v>
      </c>
      <c r="AT33" s="9">
        <f t="shared" si="10"/>
        <v>0</v>
      </c>
    </row>
    <row r="34" spans="2:46" x14ac:dyDescent="0.25">
      <c r="B34" s="2" t="s">
        <v>53</v>
      </c>
      <c r="C34" s="1">
        <v>85500</v>
      </c>
      <c r="D34" s="6">
        <v>0.15</v>
      </c>
      <c r="E34" s="6">
        <v>0.85</v>
      </c>
      <c r="F34" s="6"/>
      <c r="G34" s="6"/>
      <c r="H34" s="6"/>
      <c r="I34" s="6">
        <f t="shared" si="7"/>
        <v>1</v>
      </c>
      <c r="J34" s="5">
        <v>0.79</v>
      </c>
      <c r="K34" s="5"/>
      <c r="L34" s="5">
        <v>0.09</v>
      </c>
      <c r="M34" s="5"/>
      <c r="N34" s="5"/>
      <c r="O34" s="5">
        <v>0.01</v>
      </c>
      <c r="P34" s="5"/>
      <c r="Q34" s="5">
        <v>0.01</v>
      </c>
      <c r="R34" s="5">
        <v>0.05</v>
      </c>
      <c r="S34" s="5">
        <v>0.03</v>
      </c>
      <c r="T34" s="5"/>
      <c r="U34" s="5"/>
      <c r="V34" s="5"/>
      <c r="W34" s="5"/>
      <c r="X34" s="5">
        <v>0.02</v>
      </c>
      <c r="Z34" s="6">
        <f t="shared" si="4"/>
        <v>1</v>
      </c>
      <c r="AB34" s="9">
        <f t="shared" si="5"/>
        <v>67545</v>
      </c>
      <c r="AC34" s="9">
        <f t="shared" si="8"/>
        <v>10131.75</v>
      </c>
      <c r="AD34" s="9">
        <f t="shared" si="8"/>
        <v>57413.25</v>
      </c>
      <c r="AE34" s="9">
        <f t="shared" si="8"/>
        <v>0</v>
      </c>
      <c r="AF34" s="9">
        <f t="shared" si="8"/>
        <v>0</v>
      </c>
      <c r="AG34" s="9">
        <f t="shared" si="8"/>
        <v>0</v>
      </c>
      <c r="AH34" s="9">
        <f t="shared" si="9"/>
        <v>0</v>
      </c>
      <c r="AI34" s="9">
        <f t="shared" si="9"/>
        <v>7695</v>
      </c>
      <c r="AJ34" s="9">
        <f t="shared" ref="AJ34:AN65" si="11">$C34*N34</f>
        <v>0</v>
      </c>
      <c r="AK34" s="9">
        <f t="shared" si="11"/>
        <v>855</v>
      </c>
      <c r="AL34" s="9">
        <f t="shared" si="10"/>
        <v>0</v>
      </c>
      <c r="AM34" s="9">
        <f t="shared" si="10"/>
        <v>855</v>
      </c>
      <c r="AN34" s="9">
        <f t="shared" si="10"/>
        <v>4275</v>
      </c>
      <c r="AO34" s="9">
        <f t="shared" si="10"/>
        <v>2565</v>
      </c>
      <c r="AP34" s="9">
        <f t="shared" si="10"/>
        <v>0</v>
      </c>
      <c r="AQ34" s="9">
        <f t="shared" si="10"/>
        <v>0</v>
      </c>
      <c r="AR34" s="9">
        <f t="shared" si="10"/>
        <v>0</v>
      </c>
      <c r="AS34" s="9">
        <f t="shared" si="10"/>
        <v>0</v>
      </c>
      <c r="AT34" s="9">
        <f t="shared" si="10"/>
        <v>1710</v>
      </c>
    </row>
    <row r="35" spans="2:46" x14ac:dyDescent="0.25">
      <c r="B35" s="2" t="s">
        <v>54</v>
      </c>
      <c r="C35" s="1">
        <v>395000</v>
      </c>
      <c r="D35" s="6"/>
      <c r="E35" s="6">
        <v>0.4</v>
      </c>
      <c r="F35" s="6"/>
      <c r="G35" s="6">
        <v>0.6</v>
      </c>
      <c r="H35" s="6"/>
      <c r="I35" s="6">
        <f t="shared" si="7"/>
        <v>1</v>
      </c>
      <c r="J35" s="5">
        <v>0.96</v>
      </c>
      <c r="K35" s="5"/>
      <c r="L35" s="5"/>
      <c r="M35" s="5"/>
      <c r="N35" s="5"/>
      <c r="O35" s="5">
        <v>5.0000000000000001E-3</v>
      </c>
      <c r="P35" s="5"/>
      <c r="Q35" s="5">
        <v>5.0000000000000001E-3</v>
      </c>
      <c r="R35" s="5"/>
      <c r="S35" s="5">
        <v>0.02</v>
      </c>
      <c r="T35" s="5"/>
      <c r="U35" s="5"/>
      <c r="V35" s="5"/>
      <c r="W35" s="5"/>
      <c r="X35" s="5">
        <v>0.01</v>
      </c>
      <c r="Z35" s="6">
        <f t="shared" si="4"/>
        <v>1</v>
      </c>
      <c r="AB35" s="9">
        <f t="shared" si="5"/>
        <v>379200</v>
      </c>
      <c r="AC35" s="9">
        <f t="shared" si="8"/>
        <v>0</v>
      </c>
      <c r="AD35" s="9">
        <f t="shared" si="8"/>
        <v>151680</v>
      </c>
      <c r="AE35" s="9">
        <f t="shared" si="8"/>
        <v>0</v>
      </c>
      <c r="AF35" s="9">
        <f t="shared" si="8"/>
        <v>227519.99999999997</v>
      </c>
      <c r="AG35" s="9">
        <f t="shared" si="8"/>
        <v>0</v>
      </c>
      <c r="AH35" s="9">
        <f t="shared" si="9"/>
        <v>0</v>
      </c>
      <c r="AI35" s="9">
        <f t="shared" si="9"/>
        <v>0</v>
      </c>
      <c r="AJ35" s="9">
        <f t="shared" si="11"/>
        <v>0</v>
      </c>
      <c r="AK35" s="9">
        <f t="shared" si="11"/>
        <v>1975</v>
      </c>
      <c r="AL35" s="9">
        <f t="shared" si="10"/>
        <v>0</v>
      </c>
      <c r="AM35" s="9">
        <f t="shared" si="10"/>
        <v>1975</v>
      </c>
      <c r="AN35" s="9">
        <f t="shared" si="10"/>
        <v>0</v>
      </c>
      <c r="AO35" s="9">
        <f t="shared" si="10"/>
        <v>7900</v>
      </c>
      <c r="AP35" s="9">
        <f t="shared" si="10"/>
        <v>0</v>
      </c>
      <c r="AQ35" s="9">
        <f t="shared" si="10"/>
        <v>0</v>
      </c>
      <c r="AR35" s="9">
        <f t="shared" si="10"/>
        <v>0</v>
      </c>
      <c r="AS35" s="9">
        <f t="shared" si="10"/>
        <v>0</v>
      </c>
      <c r="AT35" s="9">
        <f t="shared" si="10"/>
        <v>3950</v>
      </c>
    </row>
    <row r="36" spans="2:46" x14ac:dyDescent="0.25">
      <c r="B36" s="2" t="s">
        <v>55</v>
      </c>
      <c r="C36" s="1">
        <v>500000</v>
      </c>
      <c r="D36" s="6">
        <v>0.08</v>
      </c>
      <c r="E36" s="6">
        <v>0.12</v>
      </c>
      <c r="F36" s="6">
        <v>0.8</v>
      </c>
      <c r="G36" s="6"/>
      <c r="H36" s="6"/>
      <c r="I36" s="6">
        <f t="shared" si="7"/>
        <v>1</v>
      </c>
      <c r="J36" s="5">
        <v>0.96</v>
      </c>
      <c r="K36" s="5"/>
      <c r="L36" s="5"/>
      <c r="M36" s="5"/>
      <c r="N36" s="5"/>
      <c r="O36" s="5"/>
      <c r="P36" s="5"/>
      <c r="Q36" s="5"/>
      <c r="R36" s="5"/>
      <c r="S36" s="5">
        <v>0.01</v>
      </c>
      <c r="T36" s="5"/>
      <c r="U36" s="5"/>
      <c r="V36" s="5"/>
      <c r="W36" s="5"/>
      <c r="X36" s="5">
        <v>0.03</v>
      </c>
      <c r="Z36" s="6">
        <f t="shared" si="4"/>
        <v>1</v>
      </c>
      <c r="AB36" s="9">
        <f t="shared" si="5"/>
        <v>480000</v>
      </c>
      <c r="AC36" s="9">
        <f t="shared" si="8"/>
        <v>38400</v>
      </c>
      <c r="AD36" s="9">
        <f t="shared" si="8"/>
        <v>57600</v>
      </c>
      <c r="AE36" s="9">
        <f t="shared" si="8"/>
        <v>384000</v>
      </c>
      <c r="AF36" s="9">
        <f t="shared" si="8"/>
        <v>0</v>
      </c>
      <c r="AG36" s="9">
        <f t="shared" si="8"/>
        <v>0</v>
      </c>
      <c r="AH36" s="9">
        <f t="shared" si="9"/>
        <v>0</v>
      </c>
      <c r="AI36" s="9">
        <f t="shared" si="9"/>
        <v>0</v>
      </c>
      <c r="AJ36" s="9">
        <f t="shared" si="11"/>
        <v>0</v>
      </c>
      <c r="AK36" s="9">
        <f t="shared" si="11"/>
        <v>0</v>
      </c>
      <c r="AL36" s="9">
        <f t="shared" si="10"/>
        <v>0</v>
      </c>
      <c r="AM36" s="9">
        <f t="shared" si="10"/>
        <v>0</v>
      </c>
      <c r="AN36" s="9">
        <f t="shared" si="10"/>
        <v>0</v>
      </c>
      <c r="AO36" s="9">
        <f t="shared" si="10"/>
        <v>5000</v>
      </c>
      <c r="AP36" s="9">
        <f t="shared" si="10"/>
        <v>0</v>
      </c>
      <c r="AQ36" s="9">
        <f t="shared" si="10"/>
        <v>0</v>
      </c>
      <c r="AR36" s="9">
        <f t="shared" si="10"/>
        <v>0</v>
      </c>
      <c r="AS36" s="9">
        <f t="shared" si="10"/>
        <v>0</v>
      </c>
      <c r="AT36" s="9">
        <f t="shared" si="10"/>
        <v>15000</v>
      </c>
    </row>
    <row r="37" spans="2:46" x14ac:dyDescent="0.25">
      <c r="B37" s="2" t="s">
        <v>56</v>
      </c>
      <c r="C37" s="1">
        <v>468000</v>
      </c>
      <c r="D37" s="6">
        <v>0.08</v>
      </c>
      <c r="E37" s="6">
        <v>0.46</v>
      </c>
      <c r="F37" s="6">
        <v>0.06</v>
      </c>
      <c r="G37" s="6">
        <v>0.4</v>
      </c>
      <c r="H37" s="6"/>
      <c r="I37" s="6">
        <f t="shared" si="7"/>
        <v>1</v>
      </c>
      <c r="J37" s="5">
        <v>0.79</v>
      </c>
      <c r="K37" s="5">
        <f>0.08*0.9</f>
        <v>7.2000000000000008E-2</v>
      </c>
      <c r="L37" s="5">
        <f>0.08*0.1</f>
        <v>8.0000000000000002E-3</v>
      </c>
      <c r="M37" s="5"/>
      <c r="N37" s="5"/>
      <c r="O37" s="5">
        <v>1.4999999999999999E-2</v>
      </c>
      <c r="P37" s="5"/>
      <c r="Q37" s="5">
        <v>1.4999999999999999E-2</v>
      </c>
      <c r="R37" s="5">
        <v>0.02</v>
      </c>
      <c r="S37" s="5">
        <v>0.06</v>
      </c>
      <c r="T37" s="5">
        <v>0.01</v>
      </c>
      <c r="U37" s="5">
        <v>0.01</v>
      </c>
      <c r="V37" s="5"/>
      <c r="W37" s="5"/>
      <c r="X37" s="5"/>
      <c r="Z37" s="6">
        <f t="shared" si="4"/>
        <v>1.0000000000000002</v>
      </c>
      <c r="AB37" s="9">
        <f t="shared" si="5"/>
        <v>369720</v>
      </c>
      <c r="AC37" s="9">
        <f t="shared" si="8"/>
        <v>29577.600000000002</v>
      </c>
      <c r="AD37" s="9">
        <f t="shared" si="8"/>
        <v>170071.20000000004</v>
      </c>
      <c r="AE37" s="9">
        <f t="shared" si="8"/>
        <v>22183.200000000001</v>
      </c>
      <c r="AF37" s="9">
        <f t="shared" si="8"/>
        <v>147888.00000000003</v>
      </c>
      <c r="AG37" s="9">
        <f t="shared" si="8"/>
        <v>0</v>
      </c>
      <c r="AH37" s="9">
        <f t="shared" si="9"/>
        <v>33696.000000000007</v>
      </c>
      <c r="AI37" s="9">
        <f t="shared" si="9"/>
        <v>3744</v>
      </c>
      <c r="AJ37" s="9">
        <f t="shared" si="11"/>
        <v>0</v>
      </c>
      <c r="AK37" s="9">
        <f t="shared" si="11"/>
        <v>7020</v>
      </c>
      <c r="AL37" s="9">
        <f t="shared" si="10"/>
        <v>0</v>
      </c>
      <c r="AM37" s="9">
        <f t="shared" si="10"/>
        <v>7020</v>
      </c>
      <c r="AN37" s="9">
        <f t="shared" si="10"/>
        <v>9360</v>
      </c>
      <c r="AO37" s="9">
        <f t="shared" si="10"/>
        <v>28080</v>
      </c>
      <c r="AP37" s="9">
        <f t="shared" si="10"/>
        <v>4680</v>
      </c>
      <c r="AQ37" s="9">
        <f t="shared" si="10"/>
        <v>4680</v>
      </c>
      <c r="AR37" s="9">
        <f t="shared" si="10"/>
        <v>0</v>
      </c>
      <c r="AS37" s="9">
        <f t="shared" si="10"/>
        <v>0</v>
      </c>
      <c r="AT37" s="9">
        <f t="shared" si="10"/>
        <v>0</v>
      </c>
    </row>
    <row r="38" spans="2:46" x14ac:dyDescent="0.25">
      <c r="B38" s="2" t="s">
        <v>57</v>
      </c>
      <c r="C38" s="1">
        <v>476000</v>
      </c>
      <c r="D38" s="6">
        <v>0.5</v>
      </c>
      <c r="E38" s="6">
        <v>0.4</v>
      </c>
      <c r="F38" s="6"/>
      <c r="G38" s="6">
        <v>0.1</v>
      </c>
      <c r="H38" s="6"/>
      <c r="I38" s="6">
        <f t="shared" si="7"/>
        <v>1</v>
      </c>
      <c r="J38" s="5">
        <v>0.28000000000000003</v>
      </c>
      <c r="K38" s="5"/>
      <c r="L38" s="5"/>
      <c r="M38" s="5"/>
      <c r="N38" s="5"/>
      <c r="O38" s="5"/>
      <c r="P38" s="5"/>
      <c r="Q38" s="5"/>
      <c r="R38" s="5"/>
      <c r="S38" s="5">
        <v>0.03</v>
      </c>
      <c r="T38" s="5"/>
      <c r="U38" s="5"/>
      <c r="V38" s="5">
        <v>0.43</v>
      </c>
      <c r="W38" s="5">
        <v>0.25</v>
      </c>
      <c r="X38" s="5">
        <v>0.01</v>
      </c>
      <c r="Z38" s="6">
        <f t="shared" si="4"/>
        <v>1</v>
      </c>
      <c r="AB38" s="9">
        <f t="shared" si="5"/>
        <v>133280</v>
      </c>
      <c r="AC38" s="9">
        <f t="shared" si="8"/>
        <v>66640</v>
      </c>
      <c r="AD38" s="9">
        <f t="shared" si="8"/>
        <v>53312.000000000007</v>
      </c>
      <c r="AE38" s="9">
        <f t="shared" si="8"/>
        <v>0</v>
      </c>
      <c r="AF38" s="9">
        <f t="shared" si="8"/>
        <v>13328.000000000002</v>
      </c>
      <c r="AG38" s="9">
        <f t="shared" si="8"/>
        <v>0</v>
      </c>
      <c r="AH38" s="9">
        <f t="shared" si="9"/>
        <v>0</v>
      </c>
      <c r="AI38" s="9">
        <f t="shared" si="9"/>
        <v>0</v>
      </c>
      <c r="AJ38" s="9">
        <f t="shared" si="11"/>
        <v>0</v>
      </c>
      <c r="AK38" s="9">
        <f t="shared" si="11"/>
        <v>0</v>
      </c>
      <c r="AL38" s="9">
        <f t="shared" si="10"/>
        <v>0</v>
      </c>
      <c r="AM38" s="9">
        <f t="shared" si="10"/>
        <v>0</v>
      </c>
      <c r="AN38" s="9">
        <f t="shared" si="10"/>
        <v>0</v>
      </c>
      <c r="AO38" s="9">
        <f t="shared" si="10"/>
        <v>14280</v>
      </c>
      <c r="AP38" s="9">
        <f t="shared" si="10"/>
        <v>0</v>
      </c>
      <c r="AQ38" s="9">
        <f t="shared" si="10"/>
        <v>0</v>
      </c>
      <c r="AR38" s="9">
        <f t="shared" si="10"/>
        <v>204680</v>
      </c>
      <c r="AS38" s="9">
        <f t="shared" si="10"/>
        <v>119000</v>
      </c>
      <c r="AT38" s="9">
        <f t="shared" si="10"/>
        <v>4760</v>
      </c>
    </row>
    <row r="39" spans="2:46" x14ac:dyDescent="0.25">
      <c r="B39" s="2" t="s">
        <v>58</v>
      </c>
      <c r="C39" s="1">
        <v>138500</v>
      </c>
      <c r="D39" s="6">
        <v>0.8</v>
      </c>
      <c r="E39" s="6">
        <v>0.12</v>
      </c>
      <c r="F39" s="6"/>
      <c r="G39" s="6">
        <v>0.08</v>
      </c>
      <c r="H39" s="6"/>
      <c r="I39" s="6">
        <f t="shared" si="7"/>
        <v>1</v>
      </c>
      <c r="J39" s="5">
        <v>0.79</v>
      </c>
      <c r="K39" s="5">
        <f>0.08*0.8</f>
        <v>6.4000000000000001E-2</v>
      </c>
      <c r="L39" s="5">
        <f>0.08*0.2</f>
        <v>1.6E-2</v>
      </c>
      <c r="M39" s="5"/>
      <c r="N39" s="5"/>
      <c r="O39" s="5">
        <v>1.4999999999999999E-2</v>
      </c>
      <c r="P39" s="5"/>
      <c r="Q39" s="5">
        <v>1.4999999999999999E-2</v>
      </c>
      <c r="R39" s="5">
        <v>0.02</v>
      </c>
      <c r="S39" s="5">
        <v>0.06</v>
      </c>
      <c r="T39" s="5">
        <v>0.01</v>
      </c>
      <c r="U39" s="5">
        <v>0.01</v>
      </c>
      <c r="V39" s="5"/>
      <c r="W39" s="5"/>
      <c r="X39" s="5"/>
      <c r="Z39" s="6">
        <f t="shared" si="4"/>
        <v>1.0000000000000002</v>
      </c>
      <c r="AB39" s="9">
        <f t="shared" si="5"/>
        <v>109415</v>
      </c>
      <c r="AC39" s="9">
        <f t="shared" si="8"/>
        <v>87532.000000000015</v>
      </c>
      <c r="AD39" s="9">
        <f t="shared" si="8"/>
        <v>13129.8</v>
      </c>
      <c r="AE39" s="9">
        <f t="shared" si="8"/>
        <v>0</v>
      </c>
      <c r="AF39" s="9">
        <f t="shared" si="8"/>
        <v>8753.2000000000007</v>
      </c>
      <c r="AG39" s="9">
        <f t="shared" si="8"/>
        <v>0</v>
      </c>
      <c r="AH39" s="9">
        <f t="shared" si="9"/>
        <v>8864</v>
      </c>
      <c r="AI39" s="9">
        <f t="shared" si="9"/>
        <v>2216</v>
      </c>
      <c r="AJ39" s="9">
        <f t="shared" si="11"/>
        <v>0</v>
      </c>
      <c r="AK39" s="9">
        <f t="shared" si="11"/>
        <v>2077.5</v>
      </c>
      <c r="AL39" s="9">
        <f t="shared" si="10"/>
        <v>0</v>
      </c>
      <c r="AM39" s="9">
        <f t="shared" si="10"/>
        <v>2077.5</v>
      </c>
      <c r="AN39" s="9">
        <f t="shared" si="10"/>
        <v>2770</v>
      </c>
      <c r="AO39" s="9">
        <f t="shared" si="10"/>
        <v>8310</v>
      </c>
      <c r="AP39" s="9">
        <f t="shared" si="10"/>
        <v>1385</v>
      </c>
      <c r="AQ39" s="9">
        <f t="shared" si="10"/>
        <v>1385</v>
      </c>
      <c r="AR39" s="9">
        <f t="shared" si="10"/>
        <v>0</v>
      </c>
      <c r="AS39" s="9">
        <f t="shared" si="10"/>
        <v>0</v>
      </c>
      <c r="AT39" s="9">
        <f t="shared" si="10"/>
        <v>0</v>
      </c>
    </row>
    <row r="40" spans="2:46" x14ac:dyDescent="0.25">
      <c r="B40" s="2" t="s">
        <v>59</v>
      </c>
      <c r="C40" s="1">
        <v>380000</v>
      </c>
      <c r="D40" s="6">
        <v>0.2</v>
      </c>
      <c r="E40" s="6">
        <v>0.8</v>
      </c>
      <c r="F40" s="6"/>
      <c r="G40" s="6"/>
      <c r="H40" s="6"/>
      <c r="I40" s="6">
        <f t="shared" si="7"/>
        <v>1</v>
      </c>
      <c r="J40" s="5">
        <v>0.79</v>
      </c>
      <c r="K40" s="5"/>
      <c r="L40" s="5">
        <v>0.03</v>
      </c>
      <c r="M40" s="5"/>
      <c r="N40" s="5"/>
      <c r="O40" s="5">
        <v>0.02</v>
      </c>
      <c r="P40" s="5"/>
      <c r="Q40" s="5">
        <v>0.02</v>
      </c>
      <c r="R40" s="5">
        <v>0.02</v>
      </c>
      <c r="S40" s="5">
        <v>0.09</v>
      </c>
      <c r="T40" s="5">
        <v>0.01</v>
      </c>
      <c r="U40" s="5">
        <v>0.02</v>
      </c>
      <c r="V40" s="5"/>
      <c r="W40" s="5"/>
      <c r="X40" s="5"/>
      <c r="Z40" s="6">
        <f t="shared" si="4"/>
        <v>1</v>
      </c>
      <c r="AB40" s="9">
        <f t="shared" si="5"/>
        <v>300200</v>
      </c>
      <c r="AC40" s="9">
        <f t="shared" si="8"/>
        <v>60040.000000000015</v>
      </c>
      <c r="AD40" s="9">
        <f t="shared" si="8"/>
        <v>240160.00000000006</v>
      </c>
      <c r="AE40" s="9">
        <f t="shared" si="8"/>
        <v>0</v>
      </c>
      <c r="AF40" s="9">
        <f t="shared" si="8"/>
        <v>0</v>
      </c>
      <c r="AG40" s="9">
        <f t="shared" si="8"/>
        <v>0</v>
      </c>
      <c r="AH40" s="9">
        <f t="shared" si="9"/>
        <v>0</v>
      </c>
      <c r="AI40" s="9">
        <f t="shared" si="9"/>
        <v>11400</v>
      </c>
      <c r="AJ40" s="9">
        <f t="shared" si="11"/>
        <v>0</v>
      </c>
      <c r="AK40" s="9">
        <f t="shared" si="11"/>
        <v>7600</v>
      </c>
      <c r="AL40" s="9">
        <f t="shared" si="10"/>
        <v>0</v>
      </c>
      <c r="AM40" s="9">
        <f t="shared" si="10"/>
        <v>7600</v>
      </c>
      <c r="AN40" s="9">
        <f t="shared" si="10"/>
        <v>7600</v>
      </c>
      <c r="AO40" s="9">
        <f t="shared" si="10"/>
        <v>34200</v>
      </c>
      <c r="AP40" s="9">
        <f t="shared" si="10"/>
        <v>3800</v>
      </c>
      <c r="AQ40" s="9">
        <f t="shared" si="10"/>
        <v>7600</v>
      </c>
      <c r="AR40" s="9">
        <f t="shared" si="10"/>
        <v>0</v>
      </c>
      <c r="AS40" s="9">
        <f t="shared" si="10"/>
        <v>0</v>
      </c>
      <c r="AT40" s="9">
        <f t="shared" si="10"/>
        <v>0</v>
      </c>
    </row>
    <row r="41" spans="2:46" x14ac:dyDescent="0.25">
      <c r="B41" s="2" t="s">
        <v>60</v>
      </c>
      <c r="C41" s="1">
        <v>35000</v>
      </c>
      <c r="D41" s="6"/>
      <c r="E41" s="6"/>
      <c r="F41" s="6">
        <v>0.15</v>
      </c>
      <c r="G41" s="6">
        <v>0.85</v>
      </c>
      <c r="H41" s="6"/>
      <c r="I41" s="6">
        <f t="shared" si="7"/>
        <v>1</v>
      </c>
      <c r="J41" s="5">
        <v>0.37</v>
      </c>
      <c r="K41" s="5"/>
      <c r="L41" s="5"/>
      <c r="M41" s="5"/>
      <c r="N41" s="5"/>
      <c r="O41" s="5"/>
      <c r="P41" s="5"/>
      <c r="Q41" s="5"/>
      <c r="R41" s="5">
        <v>0.05</v>
      </c>
      <c r="S41" s="5">
        <v>7.0000000000000007E-2</v>
      </c>
      <c r="T41" s="5"/>
      <c r="U41" s="5">
        <v>0.03</v>
      </c>
      <c r="V41" s="5">
        <v>0.2</v>
      </c>
      <c r="W41" s="5">
        <v>0.28000000000000003</v>
      </c>
      <c r="X41" s="5"/>
      <c r="Z41" s="6">
        <f t="shared" si="4"/>
        <v>1</v>
      </c>
      <c r="AB41" s="9">
        <f t="shared" si="5"/>
        <v>12950</v>
      </c>
      <c r="AC41" s="9">
        <f t="shared" si="8"/>
        <v>0</v>
      </c>
      <c r="AD41" s="9">
        <f t="shared" si="8"/>
        <v>0</v>
      </c>
      <c r="AE41" s="9">
        <f t="shared" si="8"/>
        <v>1942.5</v>
      </c>
      <c r="AF41" s="9">
        <f t="shared" si="8"/>
        <v>11007.5</v>
      </c>
      <c r="AG41" s="9">
        <f t="shared" si="8"/>
        <v>0</v>
      </c>
      <c r="AH41" s="9">
        <f t="shared" si="9"/>
        <v>0</v>
      </c>
      <c r="AI41" s="9">
        <f t="shared" si="9"/>
        <v>0</v>
      </c>
      <c r="AJ41" s="9">
        <f t="shared" si="11"/>
        <v>0</v>
      </c>
      <c r="AK41" s="9">
        <f t="shared" si="11"/>
        <v>0</v>
      </c>
      <c r="AL41" s="9">
        <f t="shared" si="10"/>
        <v>0</v>
      </c>
      <c r="AM41" s="9">
        <f t="shared" si="10"/>
        <v>0</v>
      </c>
      <c r="AN41" s="9">
        <f t="shared" si="10"/>
        <v>1750</v>
      </c>
      <c r="AO41" s="9">
        <f t="shared" si="10"/>
        <v>2450.0000000000005</v>
      </c>
      <c r="AP41" s="9">
        <f t="shared" si="10"/>
        <v>0</v>
      </c>
      <c r="AQ41" s="9">
        <f t="shared" si="10"/>
        <v>1050</v>
      </c>
      <c r="AR41" s="9">
        <f t="shared" si="10"/>
        <v>7000</v>
      </c>
      <c r="AS41" s="9">
        <f t="shared" si="10"/>
        <v>9800.0000000000018</v>
      </c>
      <c r="AT41" s="9">
        <f t="shared" si="10"/>
        <v>0</v>
      </c>
    </row>
    <row r="42" spans="2:46" x14ac:dyDescent="0.25">
      <c r="B42" s="2" t="s">
        <v>61</v>
      </c>
      <c r="C42" s="1">
        <v>50000</v>
      </c>
      <c r="D42" s="6">
        <v>1</v>
      </c>
      <c r="E42" s="6"/>
      <c r="F42" s="6"/>
      <c r="G42" s="6"/>
      <c r="H42" s="6"/>
      <c r="I42" s="6">
        <f t="shared" si="7"/>
        <v>1</v>
      </c>
      <c r="J42" s="5">
        <v>0.96</v>
      </c>
      <c r="K42" s="5"/>
      <c r="L42" s="5"/>
      <c r="M42" s="5"/>
      <c r="N42" s="5"/>
      <c r="O42" s="5">
        <v>5.0000000000000001E-3</v>
      </c>
      <c r="P42" s="5"/>
      <c r="Q42" s="5">
        <v>5.0000000000000001E-3</v>
      </c>
      <c r="R42" s="5"/>
      <c r="S42" s="5">
        <v>0.02</v>
      </c>
      <c r="T42" s="5"/>
      <c r="U42" s="5"/>
      <c r="V42" s="5"/>
      <c r="W42" s="5"/>
      <c r="X42" s="5">
        <v>0.01</v>
      </c>
      <c r="Z42" s="6">
        <f t="shared" si="4"/>
        <v>1</v>
      </c>
      <c r="AB42" s="9">
        <f t="shared" si="5"/>
        <v>48000</v>
      </c>
      <c r="AC42" s="9">
        <f t="shared" si="8"/>
        <v>48000</v>
      </c>
      <c r="AD42" s="9">
        <f t="shared" si="8"/>
        <v>0</v>
      </c>
      <c r="AE42" s="9">
        <f t="shared" si="8"/>
        <v>0</v>
      </c>
      <c r="AF42" s="9">
        <f t="shared" si="8"/>
        <v>0</v>
      </c>
      <c r="AG42" s="9">
        <f t="shared" si="8"/>
        <v>0</v>
      </c>
      <c r="AH42" s="9">
        <f t="shared" si="9"/>
        <v>0</v>
      </c>
      <c r="AI42" s="9">
        <f t="shared" si="9"/>
        <v>0</v>
      </c>
      <c r="AJ42" s="9">
        <f t="shared" si="11"/>
        <v>0</v>
      </c>
      <c r="AK42" s="9">
        <f t="shared" si="11"/>
        <v>250</v>
      </c>
      <c r="AL42" s="9">
        <f t="shared" si="10"/>
        <v>0</v>
      </c>
      <c r="AM42" s="9">
        <f t="shared" si="10"/>
        <v>250</v>
      </c>
      <c r="AN42" s="9">
        <f t="shared" si="10"/>
        <v>0</v>
      </c>
      <c r="AO42" s="9">
        <f t="shared" si="10"/>
        <v>1000</v>
      </c>
      <c r="AP42" s="9">
        <f t="shared" si="10"/>
        <v>0</v>
      </c>
      <c r="AQ42" s="9">
        <f t="shared" si="10"/>
        <v>0</v>
      </c>
      <c r="AR42" s="9">
        <f t="shared" si="10"/>
        <v>0</v>
      </c>
      <c r="AS42" s="9">
        <f t="shared" si="10"/>
        <v>0</v>
      </c>
      <c r="AT42" s="9">
        <f t="shared" si="10"/>
        <v>500</v>
      </c>
    </row>
    <row r="43" spans="2:46" x14ac:dyDescent="0.25">
      <c r="B43" s="2" t="s">
        <v>62</v>
      </c>
      <c r="C43" s="1">
        <v>154000</v>
      </c>
      <c r="D43" s="6">
        <v>0.8</v>
      </c>
      <c r="E43" s="6">
        <v>0.2</v>
      </c>
      <c r="F43" s="6"/>
      <c r="G43" s="6"/>
      <c r="H43" s="6"/>
      <c r="I43" s="6">
        <f t="shared" si="7"/>
        <v>1</v>
      </c>
      <c r="J43" s="5">
        <v>0.79</v>
      </c>
      <c r="K43" s="5"/>
      <c r="L43" s="5">
        <v>0.03</v>
      </c>
      <c r="M43" s="5"/>
      <c r="N43" s="5"/>
      <c r="O43" s="5">
        <v>2.5000000000000001E-2</v>
      </c>
      <c r="P43" s="5"/>
      <c r="Q43" s="5">
        <v>2.5000000000000001E-2</v>
      </c>
      <c r="R43" s="5">
        <v>0.02</v>
      </c>
      <c r="S43" s="5">
        <v>0.09</v>
      </c>
      <c r="T43" s="5">
        <v>0.01</v>
      </c>
      <c r="U43" s="5">
        <v>0.01</v>
      </c>
      <c r="V43" s="5"/>
      <c r="W43" s="5"/>
      <c r="X43" s="5"/>
      <c r="Z43" s="6">
        <f t="shared" si="4"/>
        <v>1</v>
      </c>
      <c r="AB43" s="9">
        <f t="shared" si="5"/>
        <v>121660</v>
      </c>
      <c r="AC43" s="9">
        <f t="shared" si="8"/>
        <v>97328.000000000015</v>
      </c>
      <c r="AD43" s="9">
        <f t="shared" si="8"/>
        <v>24332.000000000004</v>
      </c>
      <c r="AE43" s="9">
        <f t="shared" si="8"/>
        <v>0</v>
      </c>
      <c r="AF43" s="9">
        <f t="shared" si="8"/>
        <v>0</v>
      </c>
      <c r="AG43" s="9">
        <f t="shared" si="8"/>
        <v>0</v>
      </c>
      <c r="AH43" s="9">
        <f t="shared" si="9"/>
        <v>0</v>
      </c>
      <c r="AI43" s="9">
        <f t="shared" si="9"/>
        <v>4620</v>
      </c>
      <c r="AJ43" s="9">
        <f t="shared" si="11"/>
        <v>0</v>
      </c>
      <c r="AK43" s="9">
        <f t="shared" si="11"/>
        <v>3850</v>
      </c>
      <c r="AL43" s="9">
        <f t="shared" si="10"/>
        <v>0</v>
      </c>
      <c r="AM43" s="9">
        <f t="shared" si="10"/>
        <v>3850</v>
      </c>
      <c r="AN43" s="9">
        <f t="shared" si="10"/>
        <v>3080</v>
      </c>
      <c r="AO43" s="9">
        <f t="shared" si="10"/>
        <v>13860</v>
      </c>
      <c r="AP43" s="9">
        <f t="shared" si="10"/>
        <v>1540</v>
      </c>
      <c r="AQ43" s="9">
        <f t="shared" si="10"/>
        <v>1540</v>
      </c>
      <c r="AR43" s="9">
        <f t="shared" si="10"/>
        <v>0</v>
      </c>
      <c r="AS43" s="9">
        <f t="shared" si="10"/>
        <v>0</v>
      </c>
      <c r="AT43" s="9">
        <f t="shared" si="10"/>
        <v>0</v>
      </c>
    </row>
    <row r="44" spans="2:46" x14ac:dyDescent="0.25">
      <c r="B44" s="2" t="s">
        <v>63</v>
      </c>
      <c r="C44" s="1">
        <v>420000</v>
      </c>
      <c r="D44" s="6">
        <v>0.7</v>
      </c>
      <c r="E44" s="6">
        <v>0.15</v>
      </c>
      <c r="F44" s="6"/>
      <c r="G44" s="6">
        <v>0.1</v>
      </c>
      <c r="H44" s="6">
        <v>0.05</v>
      </c>
      <c r="I44" s="6">
        <f t="shared" si="7"/>
        <v>1</v>
      </c>
      <c r="J44" s="5">
        <v>0.79</v>
      </c>
      <c r="K44" s="5"/>
      <c r="L44" s="5">
        <v>0.03</v>
      </c>
      <c r="M44" s="5"/>
      <c r="N44" s="5"/>
      <c r="O44" s="5">
        <v>0.02</v>
      </c>
      <c r="P44" s="5"/>
      <c r="Q44" s="5">
        <v>0.02</v>
      </c>
      <c r="R44" s="5">
        <v>0.02</v>
      </c>
      <c r="S44" s="5">
        <v>0.08</v>
      </c>
      <c r="T44" s="5">
        <v>0.01</v>
      </c>
      <c r="U44" s="5">
        <v>0.01</v>
      </c>
      <c r="V44" s="5"/>
      <c r="W44" s="5"/>
      <c r="X44" s="5">
        <v>0.02</v>
      </c>
      <c r="Z44" s="6">
        <f t="shared" si="4"/>
        <v>1</v>
      </c>
      <c r="AB44" s="9">
        <f t="shared" si="5"/>
        <v>331800</v>
      </c>
      <c r="AC44" s="9">
        <f t="shared" si="8"/>
        <v>232259.99999999997</v>
      </c>
      <c r="AD44" s="9">
        <f t="shared" si="8"/>
        <v>49770</v>
      </c>
      <c r="AE44" s="9">
        <f t="shared" si="8"/>
        <v>0</v>
      </c>
      <c r="AF44" s="9">
        <f t="shared" si="8"/>
        <v>33180.000000000007</v>
      </c>
      <c r="AG44" s="9">
        <f t="shared" si="8"/>
        <v>16590.000000000004</v>
      </c>
      <c r="AH44" s="9">
        <f t="shared" si="9"/>
        <v>0</v>
      </c>
      <c r="AI44" s="9">
        <f t="shared" si="9"/>
        <v>12600</v>
      </c>
      <c r="AJ44" s="9">
        <f t="shared" si="11"/>
        <v>0</v>
      </c>
      <c r="AK44" s="9">
        <f t="shared" si="11"/>
        <v>8400</v>
      </c>
      <c r="AL44" s="9">
        <f t="shared" si="10"/>
        <v>0</v>
      </c>
      <c r="AM44" s="9">
        <f t="shared" si="10"/>
        <v>8400</v>
      </c>
      <c r="AN44" s="9">
        <f t="shared" si="10"/>
        <v>8400</v>
      </c>
      <c r="AO44" s="9">
        <f t="shared" si="10"/>
        <v>33600</v>
      </c>
      <c r="AP44" s="9">
        <f t="shared" si="10"/>
        <v>4200</v>
      </c>
      <c r="AQ44" s="9">
        <f t="shared" si="10"/>
        <v>4200</v>
      </c>
      <c r="AR44" s="9">
        <f t="shared" si="10"/>
        <v>0</v>
      </c>
      <c r="AS44" s="9">
        <f t="shared" si="10"/>
        <v>0</v>
      </c>
      <c r="AT44" s="9">
        <f t="shared" si="10"/>
        <v>8400</v>
      </c>
    </row>
    <row r="45" spans="2:46" x14ac:dyDescent="0.25">
      <c r="B45" s="2" t="s">
        <v>64</v>
      </c>
      <c r="C45" s="1">
        <v>27000</v>
      </c>
      <c r="D45" s="6">
        <v>0.1</v>
      </c>
      <c r="E45" s="6">
        <v>0.85</v>
      </c>
      <c r="F45" s="6"/>
      <c r="G45" s="6">
        <v>0.05</v>
      </c>
      <c r="H45" s="6"/>
      <c r="I45" s="6">
        <f t="shared" si="7"/>
        <v>1</v>
      </c>
      <c r="J45" s="5">
        <v>0.79</v>
      </c>
      <c r="K45" s="5"/>
      <c r="L45" s="5">
        <v>0.03</v>
      </c>
      <c r="M45" s="5"/>
      <c r="N45" s="5"/>
      <c r="O45" s="5">
        <v>2.5000000000000001E-2</v>
      </c>
      <c r="P45" s="5"/>
      <c r="Q45" s="5">
        <v>2.5000000000000001E-2</v>
      </c>
      <c r="R45" s="5">
        <v>0.02</v>
      </c>
      <c r="S45" s="5">
        <v>0.09</v>
      </c>
      <c r="T45" s="5">
        <v>0.01</v>
      </c>
      <c r="U45" s="5">
        <v>0.01</v>
      </c>
      <c r="V45" s="5"/>
      <c r="W45" s="5"/>
      <c r="X45" s="5"/>
      <c r="Z45" s="6">
        <f t="shared" si="4"/>
        <v>1</v>
      </c>
      <c r="AB45" s="9">
        <f t="shared" si="5"/>
        <v>21330</v>
      </c>
      <c r="AC45" s="9">
        <f t="shared" si="8"/>
        <v>2133.0000000000005</v>
      </c>
      <c r="AD45" s="9">
        <f t="shared" si="8"/>
        <v>18130.5</v>
      </c>
      <c r="AE45" s="9">
        <f t="shared" si="8"/>
        <v>0</v>
      </c>
      <c r="AF45" s="9">
        <f t="shared" si="8"/>
        <v>1066.5000000000002</v>
      </c>
      <c r="AG45" s="9">
        <f t="shared" si="8"/>
        <v>0</v>
      </c>
      <c r="AH45" s="9">
        <f t="shared" si="9"/>
        <v>0</v>
      </c>
      <c r="AI45" s="9">
        <f t="shared" si="9"/>
        <v>810</v>
      </c>
      <c r="AJ45" s="9">
        <f t="shared" si="11"/>
        <v>0</v>
      </c>
      <c r="AK45" s="9">
        <f t="shared" si="11"/>
        <v>675</v>
      </c>
      <c r="AL45" s="9">
        <f t="shared" si="10"/>
        <v>0</v>
      </c>
      <c r="AM45" s="9">
        <f t="shared" si="10"/>
        <v>675</v>
      </c>
      <c r="AN45" s="9">
        <f t="shared" si="10"/>
        <v>540</v>
      </c>
      <c r="AO45" s="9">
        <f t="shared" si="10"/>
        <v>2430</v>
      </c>
      <c r="AP45" s="9">
        <f t="shared" si="10"/>
        <v>270</v>
      </c>
      <c r="AQ45" s="9">
        <f t="shared" si="10"/>
        <v>270</v>
      </c>
      <c r="AR45" s="9">
        <f t="shared" si="10"/>
        <v>0</v>
      </c>
      <c r="AS45" s="9">
        <f t="shared" si="10"/>
        <v>0</v>
      </c>
      <c r="AT45" s="9">
        <f t="shared" si="10"/>
        <v>0</v>
      </c>
    </row>
    <row r="46" spans="2:46" x14ac:dyDescent="0.25">
      <c r="B46" s="2" t="s">
        <v>65</v>
      </c>
      <c r="C46" s="1">
        <v>209000</v>
      </c>
      <c r="D46" s="6">
        <v>1</v>
      </c>
      <c r="E46" s="6"/>
      <c r="F46" s="6"/>
      <c r="G46" s="6"/>
      <c r="H46" s="6"/>
      <c r="I46" s="6">
        <f t="shared" si="7"/>
        <v>1</v>
      </c>
      <c r="J46" s="5">
        <v>0.79</v>
      </c>
      <c r="K46" s="5">
        <f>0.08*0.6</f>
        <v>4.8000000000000001E-2</v>
      </c>
      <c r="L46" s="5">
        <f>0.08*0.4</f>
        <v>3.2000000000000001E-2</v>
      </c>
      <c r="M46" s="5"/>
      <c r="N46" s="5"/>
      <c r="O46" s="5">
        <v>1.4999999999999999E-2</v>
      </c>
      <c r="P46" s="5"/>
      <c r="Q46" s="5">
        <v>1.4999999999999999E-2</v>
      </c>
      <c r="R46" s="5">
        <v>0.02</v>
      </c>
      <c r="S46" s="5">
        <v>0.06</v>
      </c>
      <c r="T46" s="5">
        <v>0.01</v>
      </c>
      <c r="U46" s="5">
        <v>0.01</v>
      </c>
      <c r="V46" s="5"/>
      <c r="W46" s="5"/>
      <c r="X46" s="5"/>
      <c r="Z46" s="6">
        <f t="shared" si="4"/>
        <v>1.0000000000000002</v>
      </c>
      <c r="AB46" s="9">
        <f t="shared" si="5"/>
        <v>165110</v>
      </c>
      <c r="AC46" s="9">
        <f t="shared" si="8"/>
        <v>165110</v>
      </c>
      <c r="AD46" s="9">
        <f t="shared" si="8"/>
        <v>0</v>
      </c>
      <c r="AE46" s="9">
        <f t="shared" si="8"/>
        <v>0</v>
      </c>
      <c r="AF46" s="9">
        <f t="shared" si="8"/>
        <v>0</v>
      </c>
      <c r="AG46" s="9">
        <f t="shared" si="8"/>
        <v>0</v>
      </c>
      <c r="AH46" s="9">
        <f t="shared" si="9"/>
        <v>10032</v>
      </c>
      <c r="AI46" s="9">
        <f t="shared" si="9"/>
        <v>6688</v>
      </c>
      <c r="AJ46" s="9">
        <f t="shared" si="11"/>
        <v>0</v>
      </c>
      <c r="AK46" s="9">
        <f t="shared" si="11"/>
        <v>3135</v>
      </c>
      <c r="AL46" s="9">
        <f t="shared" si="10"/>
        <v>0</v>
      </c>
      <c r="AM46" s="9">
        <f t="shared" si="10"/>
        <v>3135</v>
      </c>
      <c r="AN46" s="9">
        <f t="shared" si="10"/>
        <v>4180</v>
      </c>
      <c r="AO46" s="9">
        <f t="shared" si="10"/>
        <v>12540</v>
      </c>
      <c r="AP46" s="9">
        <f t="shared" si="10"/>
        <v>2090</v>
      </c>
      <c r="AQ46" s="9">
        <f t="shared" si="10"/>
        <v>2090</v>
      </c>
      <c r="AR46" s="9">
        <f t="shared" si="10"/>
        <v>0</v>
      </c>
      <c r="AS46" s="9">
        <f t="shared" si="10"/>
        <v>0</v>
      </c>
      <c r="AT46" s="9">
        <f t="shared" si="10"/>
        <v>0</v>
      </c>
    </row>
    <row r="47" spans="2:46" x14ac:dyDescent="0.25">
      <c r="B47" s="2" t="s">
        <v>66</v>
      </c>
      <c r="C47" s="1">
        <v>144000</v>
      </c>
      <c r="D47" s="6">
        <v>0.25</v>
      </c>
      <c r="E47" s="6">
        <v>0.4</v>
      </c>
      <c r="F47" s="6"/>
      <c r="G47" s="6">
        <v>0.35</v>
      </c>
      <c r="H47" s="6"/>
      <c r="I47" s="6">
        <f t="shared" si="7"/>
        <v>1</v>
      </c>
      <c r="J47" s="5">
        <v>0.79</v>
      </c>
      <c r="K47" s="5">
        <v>0.08</v>
      </c>
      <c r="L47" s="5"/>
      <c r="M47" s="5"/>
      <c r="N47" s="5"/>
      <c r="O47" s="5">
        <v>0.01</v>
      </c>
      <c r="P47" s="5"/>
      <c r="Q47" s="5">
        <v>0.01</v>
      </c>
      <c r="R47" s="5">
        <v>0.03</v>
      </c>
      <c r="S47" s="5">
        <v>0.06</v>
      </c>
      <c r="T47" s="5">
        <v>0.01</v>
      </c>
      <c r="U47" s="5">
        <v>0.01</v>
      </c>
      <c r="V47" s="5"/>
      <c r="W47" s="5"/>
      <c r="X47" s="5"/>
      <c r="Z47" s="6">
        <f t="shared" si="4"/>
        <v>1</v>
      </c>
      <c r="AB47" s="9">
        <f t="shared" si="5"/>
        <v>113760</v>
      </c>
      <c r="AC47" s="9">
        <f t="shared" si="8"/>
        <v>28440</v>
      </c>
      <c r="AD47" s="9">
        <f t="shared" si="8"/>
        <v>45504.000000000007</v>
      </c>
      <c r="AE47" s="9">
        <f t="shared" si="8"/>
        <v>0</v>
      </c>
      <c r="AF47" s="9">
        <f t="shared" si="8"/>
        <v>39815.999999999993</v>
      </c>
      <c r="AG47" s="9">
        <f t="shared" si="8"/>
        <v>0</v>
      </c>
      <c r="AH47" s="9">
        <f t="shared" si="9"/>
        <v>11520</v>
      </c>
      <c r="AI47" s="9">
        <f t="shared" si="9"/>
        <v>0</v>
      </c>
      <c r="AJ47" s="9">
        <f t="shared" si="11"/>
        <v>0</v>
      </c>
      <c r="AK47" s="9">
        <f t="shared" si="11"/>
        <v>1440</v>
      </c>
      <c r="AL47" s="9">
        <f t="shared" si="10"/>
        <v>0</v>
      </c>
      <c r="AM47" s="9">
        <f t="shared" si="10"/>
        <v>1440</v>
      </c>
      <c r="AN47" s="9">
        <f t="shared" si="10"/>
        <v>4320</v>
      </c>
      <c r="AO47" s="9">
        <f t="shared" si="10"/>
        <v>8640</v>
      </c>
      <c r="AP47" s="9">
        <f t="shared" si="10"/>
        <v>1440</v>
      </c>
      <c r="AQ47" s="9">
        <f t="shared" si="10"/>
        <v>1440</v>
      </c>
      <c r="AR47" s="9">
        <f t="shared" si="10"/>
        <v>0</v>
      </c>
      <c r="AS47" s="9">
        <f t="shared" si="10"/>
        <v>0</v>
      </c>
      <c r="AT47" s="9">
        <f t="shared" si="10"/>
        <v>0</v>
      </c>
    </row>
    <row r="48" spans="2:46" x14ac:dyDescent="0.25">
      <c r="B48" s="2" t="s">
        <v>67</v>
      </c>
      <c r="C48" s="1">
        <v>55000</v>
      </c>
      <c r="D48" s="6">
        <v>0.4</v>
      </c>
      <c r="E48" s="6"/>
      <c r="F48" s="6"/>
      <c r="G48" s="6">
        <v>0.6</v>
      </c>
      <c r="H48" s="6"/>
      <c r="I48" s="6">
        <f t="shared" si="7"/>
        <v>1</v>
      </c>
      <c r="J48" s="5">
        <v>0.96</v>
      </c>
      <c r="K48" s="5"/>
      <c r="L48" s="5">
        <v>0.01</v>
      </c>
      <c r="M48" s="5"/>
      <c r="N48" s="5"/>
      <c r="O48" s="5"/>
      <c r="P48" s="5"/>
      <c r="Q48" s="5"/>
      <c r="R48" s="5"/>
      <c r="S48" s="5"/>
      <c r="T48" s="5"/>
      <c r="U48" s="5"/>
      <c r="V48" s="5">
        <v>0.02</v>
      </c>
      <c r="W48" s="5"/>
      <c r="X48" s="5">
        <v>0.01</v>
      </c>
      <c r="Z48" s="6">
        <f t="shared" si="4"/>
        <v>1</v>
      </c>
      <c r="AB48" s="9">
        <f t="shared" si="5"/>
        <v>52800</v>
      </c>
      <c r="AC48" s="9">
        <f t="shared" si="8"/>
        <v>21120</v>
      </c>
      <c r="AD48" s="9">
        <f t="shared" si="8"/>
        <v>0</v>
      </c>
      <c r="AE48" s="9">
        <f t="shared" si="8"/>
        <v>0</v>
      </c>
      <c r="AF48" s="9">
        <f t="shared" si="8"/>
        <v>31679.999999999996</v>
      </c>
      <c r="AG48" s="9">
        <f t="shared" si="8"/>
        <v>0</v>
      </c>
      <c r="AH48" s="9">
        <f t="shared" si="9"/>
        <v>0</v>
      </c>
      <c r="AI48" s="9">
        <f t="shared" si="9"/>
        <v>550</v>
      </c>
      <c r="AJ48" s="9">
        <f t="shared" si="11"/>
        <v>0</v>
      </c>
      <c r="AK48" s="9">
        <f t="shared" si="11"/>
        <v>0</v>
      </c>
      <c r="AL48" s="9">
        <f t="shared" si="10"/>
        <v>0</v>
      </c>
      <c r="AM48" s="9">
        <f t="shared" si="10"/>
        <v>0</v>
      </c>
      <c r="AN48" s="9">
        <f t="shared" si="10"/>
        <v>0</v>
      </c>
      <c r="AO48" s="9">
        <f t="shared" si="10"/>
        <v>0</v>
      </c>
      <c r="AP48" s="9">
        <f t="shared" si="10"/>
        <v>0</v>
      </c>
      <c r="AQ48" s="9">
        <f t="shared" si="10"/>
        <v>0</v>
      </c>
      <c r="AR48" s="9">
        <f t="shared" si="10"/>
        <v>1100</v>
      </c>
      <c r="AS48" s="9">
        <f t="shared" si="10"/>
        <v>0</v>
      </c>
      <c r="AT48" s="9">
        <f t="shared" si="10"/>
        <v>550</v>
      </c>
    </row>
    <row r="49" spans="2:46" x14ac:dyDescent="0.25">
      <c r="B49" s="2" t="s">
        <v>68</v>
      </c>
      <c r="C49" s="1">
        <v>125000</v>
      </c>
      <c r="D49" s="6">
        <v>0.4</v>
      </c>
      <c r="E49" s="6">
        <v>0.6</v>
      </c>
      <c r="F49" s="6"/>
      <c r="G49" s="6"/>
      <c r="H49" s="6"/>
      <c r="I49" s="6">
        <f t="shared" si="7"/>
        <v>1</v>
      </c>
      <c r="J49" s="5">
        <v>0.79</v>
      </c>
      <c r="K49" s="5">
        <v>2.5000000000000001E-2</v>
      </c>
      <c r="L49" s="5">
        <v>2.5000000000000001E-2</v>
      </c>
      <c r="M49" s="5"/>
      <c r="N49" s="5"/>
      <c r="O49" s="5"/>
      <c r="P49" s="5">
        <v>0.09</v>
      </c>
      <c r="Q49" s="5"/>
      <c r="R49" s="5">
        <v>0.03</v>
      </c>
      <c r="S49" s="5">
        <v>0.02</v>
      </c>
      <c r="T49" s="5">
        <v>0.01</v>
      </c>
      <c r="U49" s="5"/>
      <c r="V49" s="5"/>
      <c r="W49" s="5"/>
      <c r="X49" s="5">
        <v>0.01</v>
      </c>
      <c r="Z49" s="6">
        <f t="shared" si="4"/>
        <v>1</v>
      </c>
      <c r="AB49" s="9">
        <f t="shared" si="5"/>
        <v>98750</v>
      </c>
      <c r="AC49" s="9">
        <f t="shared" si="8"/>
        <v>39500.000000000007</v>
      </c>
      <c r="AD49" s="9">
        <f t="shared" si="8"/>
        <v>59250</v>
      </c>
      <c r="AE49" s="9">
        <f t="shared" si="8"/>
        <v>0</v>
      </c>
      <c r="AF49" s="9">
        <f t="shared" si="8"/>
        <v>0</v>
      </c>
      <c r="AG49" s="9">
        <f t="shared" si="8"/>
        <v>0</v>
      </c>
      <c r="AH49" s="9">
        <f t="shared" si="9"/>
        <v>3125</v>
      </c>
      <c r="AI49" s="9">
        <f t="shared" si="9"/>
        <v>3125</v>
      </c>
      <c r="AJ49" s="9">
        <f t="shared" si="11"/>
        <v>0</v>
      </c>
      <c r="AK49" s="9">
        <f t="shared" si="11"/>
        <v>0</v>
      </c>
      <c r="AL49" s="9">
        <f t="shared" si="10"/>
        <v>11250</v>
      </c>
      <c r="AM49" s="9">
        <f t="shared" si="10"/>
        <v>0</v>
      </c>
      <c r="AN49" s="9">
        <f t="shared" si="10"/>
        <v>3750</v>
      </c>
      <c r="AO49" s="9">
        <f t="shared" si="10"/>
        <v>2500</v>
      </c>
      <c r="AP49" s="9">
        <f t="shared" si="10"/>
        <v>1250</v>
      </c>
      <c r="AQ49" s="9">
        <f t="shared" si="10"/>
        <v>0</v>
      </c>
      <c r="AR49" s="9">
        <f t="shared" si="10"/>
        <v>0</v>
      </c>
      <c r="AS49" s="9">
        <f t="shared" si="10"/>
        <v>0</v>
      </c>
      <c r="AT49" s="9">
        <f t="shared" si="10"/>
        <v>1250</v>
      </c>
    </row>
    <row r="50" spans="2:46" x14ac:dyDescent="0.25">
      <c r="B50" s="2" t="s">
        <v>69</v>
      </c>
      <c r="C50" s="1">
        <v>195000</v>
      </c>
      <c r="D50" s="6"/>
      <c r="E50" s="6"/>
      <c r="F50" s="6"/>
      <c r="G50" s="6">
        <v>1</v>
      </c>
      <c r="H50" s="6"/>
      <c r="I50" s="6">
        <f t="shared" si="7"/>
        <v>1</v>
      </c>
      <c r="J50" s="5">
        <v>0.78</v>
      </c>
      <c r="K50" s="5"/>
      <c r="L50" s="5">
        <v>0.03</v>
      </c>
      <c r="M50" s="5"/>
      <c r="N50" s="5"/>
      <c r="O50" s="5">
        <v>0.02</v>
      </c>
      <c r="P50" s="5"/>
      <c r="Q50" s="5">
        <v>0.02</v>
      </c>
      <c r="R50" s="5">
        <v>0.02</v>
      </c>
      <c r="S50" s="5">
        <v>0.09</v>
      </c>
      <c r="T50" s="5">
        <v>0.01</v>
      </c>
      <c r="U50" s="5">
        <v>0.01</v>
      </c>
      <c r="V50" s="5"/>
      <c r="W50" s="5"/>
      <c r="X50" s="5">
        <v>0.02</v>
      </c>
      <c r="Z50" s="6">
        <f t="shared" si="4"/>
        <v>1</v>
      </c>
      <c r="AB50" s="9">
        <f t="shared" si="5"/>
        <v>152100</v>
      </c>
      <c r="AC50" s="9">
        <f t="shared" si="8"/>
        <v>0</v>
      </c>
      <c r="AD50" s="9">
        <f t="shared" si="8"/>
        <v>0</v>
      </c>
      <c r="AE50" s="9">
        <f t="shared" si="8"/>
        <v>0</v>
      </c>
      <c r="AF50" s="9">
        <f t="shared" si="8"/>
        <v>152100</v>
      </c>
      <c r="AG50" s="9">
        <f t="shared" si="8"/>
        <v>0</v>
      </c>
      <c r="AH50" s="9">
        <f t="shared" si="9"/>
        <v>0</v>
      </c>
      <c r="AI50" s="9">
        <f t="shared" si="9"/>
        <v>5850</v>
      </c>
      <c r="AJ50" s="9">
        <f t="shared" si="11"/>
        <v>0</v>
      </c>
      <c r="AK50" s="9">
        <f t="shared" si="11"/>
        <v>3900</v>
      </c>
      <c r="AL50" s="9">
        <f t="shared" si="10"/>
        <v>0</v>
      </c>
      <c r="AM50" s="9">
        <f t="shared" si="10"/>
        <v>3900</v>
      </c>
      <c r="AN50" s="9">
        <f t="shared" si="10"/>
        <v>3900</v>
      </c>
      <c r="AO50" s="9">
        <f t="shared" si="10"/>
        <v>17550</v>
      </c>
      <c r="AP50" s="9">
        <f t="shared" si="10"/>
        <v>1950</v>
      </c>
      <c r="AQ50" s="9">
        <f t="shared" si="10"/>
        <v>1950</v>
      </c>
      <c r="AR50" s="9">
        <f t="shared" si="10"/>
        <v>0</v>
      </c>
      <c r="AS50" s="9">
        <f t="shared" si="10"/>
        <v>0</v>
      </c>
      <c r="AT50" s="9">
        <f t="shared" si="10"/>
        <v>3900</v>
      </c>
    </row>
    <row r="51" spans="2:46" x14ac:dyDescent="0.25">
      <c r="B51" s="2" t="s">
        <v>70</v>
      </c>
      <c r="C51" s="1">
        <v>104000</v>
      </c>
      <c r="D51" s="6"/>
      <c r="E51" s="6"/>
      <c r="F51" s="6">
        <v>1</v>
      </c>
      <c r="G51" s="6"/>
      <c r="H51" s="6"/>
      <c r="I51" s="6">
        <f t="shared" si="7"/>
        <v>1</v>
      </c>
      <c r="J51" s="5">
        <v>0.96</v>
      </c>
      <c r="K51" s="5"/>
      <c r="L51" s="5"/>
      <c r="M51" s="5"/>
      <c r="N51" s="5"/>
      <c r="O51" s="5">
        <v>5.0000000000000001E-3</v>
      </c>
      <c r="P51" s="5"/>
      <c r="Q51" s="5">
        <v>5.0000000000000001E-3</v>
      </c>
      <c r="R51" s="5"/>
      <c r="S51" s="5">
        <v>0.02</v>
      </c>
      <c r="T51" s="5"/>
      <c r="U51" s="5"/>
      <c r="V51" s="5"/>
      <c r="W51" s="5"/>
      <c r="X51" s="5">
        <v>0.01</v>
      </c>
      <c r="Z51" s="6">
        <f t="shared" si="4"/>
        <v>1</v>
      </c>
      <c r="AB51" s="9">
        <f t="shared" si="5"/>
        <v>99840</v>
      </c>
      <c r="AC51" s="9">
        <f t="shared" si="8"/>
        <v>0</v>
      </c>
      <c r="AD51" s="9">
        <f t="shared" si="8"/>
        <v>0</v>
      </c>
      <c r="AE51" s="9">
        <f t="shared" si="8"/>
        <v>99840</v>
      </c>
      <c r="AF51" s="9">
        <f t="shared" si="8"/>
        <v>0</v>
      </c>
      <c r="AG51" s="9">
        <f t="shared" si="8"/>
        <v>0</v>
      </c>
      <c r="AH51" s="9">
        <f t="shared" si="9"/>
        <v>0</v>
      </c>
      <c r="AI51" s="9">
        <f t="shared" si="9"/>
        <v>0</v>
      </c>
      <c r="AJ51" s="9">
        <f t="shared" si="11"/>
        <v>0</v>
      </c>
      <c r="AK51" s="9">
        <f t="shared" si="11"/>
        <v>520</v>
      </c>
      <c r="AL51" s="9">
        <f t="shared" si="10"/>
        <v>0</v>
      </c>
      <c r="AM51" s="9">
        <f t="shared" si="10"/>
        <v>520</v>
      </c>
      <c r="AN51" s="9">
        <f t="shared" si="10"/>
        <v>0</v>
      </c>
      <c r="AO51" s="9">
        <f t="shared" si="10"/>
        <v>2080</v>
      </c>
      <c r="AP51" s="9">
        <f t="shared" si="10"/>
        <v>0</v>
      </c>
      <c r="AQ51" s="9">
        <f t="shared" si="10"/>
        <v>0</v>
      </c>
      <c r="AR51" s="9">
        <f t="shared" si="10"/>
        <v>0</v>
      </c>
      <c r="AS51" s="9">
        <f t="shared" si="10"/>
        <v>0</v>
      </c>
      <c r="AT51" s="9">
        <f t="shared" si="10"/>
        <v>1040</v>
      </c>
    </row>
    <row r="52" spans="2:46" x14ac:dyDescent="0.25">
      <c r="B52" s="2" t="s">
        <v>71</v>
      </c>
      <c r="C52" s="1">
        <v>273000</v>
      </c>
      <c r="D52" s="6"/>
      <c r="E52" s="6">
        <v>0.15</v>
      </c>
      <c r="F52" s="6">
        <v>0.85</v>
      </c>
      <c r="G52" s="6"/>
      <c r="H52" s="6"/>
      <c r="I52" s="6">
        <f t="shared" si="7"/>
        <v>1</v>
      </c>
      <c r="J52" s="5">
        <v>0.79</v>
      </c>
      <c r="K52" s="5">
        <v>0.08</v>
      </c>
      <c r="L52" s="5"/>
      <c r="M52" s="5"/>
      <c r="N52" s="5"/>
      <c r="O52" s="5">
        <v>1.4999999999999999E-2</v>
      </c>
      <c r="P52" s="5"/>
      <c r="Q52" s="5">
        <v>1.4999999999999999E-2</v>
      </c>
      <c r="R52" s="5">
        <v>0.02</v>
      </c>
      <c r="S52" s="5">
        <v>0.06</v>
      </c>
      <c r="T52" s="5">
        <v>0.01</v>
      </c>
      <c r="U52" s="5">
        <v>0.01</v>
      </c>
      <c r="V52" s="5"/>
      <c r="W52" s="5"/>
      <c r="X52" s="5"/>
      <c r="Z52" s="6">
        <f t="shared" si="4"/>
        <v>1</v>
      </c>
      <c r="AB52" s="9">
        <f t="shared" si="5"/>
        <v>215670</v>
      </c>
      <c r="AC52" s="9">
        <f t="shared" si="8"/>
        <v>0</v>
      </c>
      <c r="AD52" s="9">
        <f t="shared" si="8"/>
        <v>32350.5</v>
      </c>
      <c r="AE52" s="9">
        <f t="shared" si="8"/>
        <v>183319.5</v>
      </c>
      <c r="AF52" s="9">
        <f t="shared" si="8"/>
        <v>0</v>
      </c>
      <c r="AG52" s="9">
        <f t="shared" si="8"/>
        <v>0</v>
      </c>
      <c r="AH52" s="9">
        <f t="shared" si="9"/>
        <v>21840</v>
      </c>
      <c r="AI52" s="9">
        <f t="shared" si="9"/>
        <v>0</v>
      </c>
      <c r="AJ52" s="9">
        <f t="shared" si="11"/>
        <v>0</v>
      </c>
      <c r="AK52" s="9">
        <f t="shared" si="11"/>
        <v>4095</v>
      </c>
      <c r="AL52" s="9">
        <f t="shared" si="10"/>
        <v>0</v>
      </c>
      <c r="AM52" s="9">
        <f t="shared" si="10"/>
        <v>4095</v>
      </c>
      <c r="AN52" s="9">
        <f t="shared" si="10"/>
        <v>5460</v>
      </c>
      <c r="AO52" s="9">
        <f t="shared" si="10"/>
        <v>16380</v>
      </c>
      <c r="AP52" s="9">
        <f t="shared" si="10"/>
        <v>2730</v>
      </c>
      <c r="AQ52" s="9">
        <f t="shared" si="10"/>
        <v>2730</v>
      </c>
      <c r="AR52" s="9">
        <f t="shared" si="10"/>
        <v>0</v>
      </c>
      <c r="AS52" s="9">
        <f t="shared" si="10"/>
        <v>0</v>
      </c>
      <c r="AT52" s="9">
        <f t="shared" si="10"/>
        <v>0</v>
      </c>
    </row>
    <row r="53" spans="2:46" x14ac:dyDescent="0.25">
      <c r="B53" s="2" t="s">
        <v>72</v>
      </c>
      <c r="C53" s="1">
        <v>370000</v>
      </c>
      <c r="D53" s="6">
        <v>0.25</v>
      </c>
      <c r="E53" s="6">
        <v>0.4</v>
      </c>
      <c r="F53" s="6"/>
      <c r="G53" s="6">
        <v>0.35</v>
      </c>
      <c r="H53" s="6"/>
      <c r="I53" s="6">
        <f t="shared" si="7"/>
        <v>1</v>
      </c>
      <c r="J53" s="5">
        <v>0.79</v>
      </c>
      <c r="K53" s="5"/>
      <c r="L53" s="5">
        <v>0.02</v>
      </c>
      <c r="M53" s="5"/>
      <c r="N53" s="5"/>
      <c r="O53" s="5">
        <v>1.4999999999999999E-2</v>
      </c>
      <c r="P53" s="5"/>
      <c r="Q53" s="5">
        <v>1.4999999999999999E-2</v>
      </c>
      <c r="R53" s="5">
        <v>0.08</v>
      </c>
      <c r="S53" s="5">
        <v>0.06</v>
      </c>
      <c r="T53" s="5">
        <v>0.01</v>
      </c>
      <c r="U53" s="5">
        <v>0.01</v>
      </c>
      <c r="V53" s="5"/>
      <c r="W53" s="5"/>
      <c r="X53" s="5"/>
      <c r="Z53" s="6">
        <f t="shared" si="4"/>
        <v>1</v>
      </c>
      <c r="AB53" s="9">
        <f t="shared" si="5"/>
        <v>292300</v>
      </c>
      <c r="AC53" s="9">
        <f t="shared" si="8"/>
        <v>73075</v>
      </c>
      <c r="AD53" s="9">
        <f t="shared" si="8"/>
        <v>116920.00000000001</v>
      </c>
      <c r="AE53" s="9">
        <f t="shared" si="8"/>
        <v>0</v>
      </c>
      <c r="AF53" s="9">
        <f t="shared" si="8"/>
        <v>102304.99999999999</v>
      </c>
      <c r="AG53" s="9">
        <f t="shared" si="8"/>
        <v>0</v>
      </c>
      <c r="AH53" s="9">
        <f t="shared" si="9"/>
        <v>0</v>
      </c>
      <c r="AI53" s="9">
        <f t="shared" si="9"/>
        <v>7400</v>
      </c>
      <c r="AJ53" s="9">
        <f t="shared" si="11"/>
        <v>0</v>
      </c>
      <c r="AK53" s="9">
        <f t="shared" si="11"/>
        <v>5550</v>
      </c>
      <c r="AL53" s="9">
        <f t="shared" si="10"/>
        <v>0</v>
      </c>
      <c r="AM53" s="9">
        <f t="shared" si="10"/>
        <v>5550</v>
      </c>
      <c r="AN53" s="9">
        <f t="shared" si="10"/>
        <v>29600</v>
      </c>
      <c r="AO53" s="9">
        <f t="shared" si="10"/>
        <v>22200</v>
      </c>
      <c r="AP53" s="9">
        <f t="shared" si="10"/>
        <v>3700</v>
      </c>
      <c r="AQ53" s="9">
        <f t="shared" si="10"/>
        <v>3700</v>
      </c>
      <c r="AR53" s="9">
        <f t="shared" si="10"/>
        <v>0</v>
      </c>
      <c r="AS53" s="9">
        <f t="shared" si="10"/>
        <v>0</v>
      </c>
      <c r="AT53" s="9">
        <f t="shared" si="10"/>
        <v>0</v>
      </c>
    </row>
    <row r="54" spans="2:46" x14ac:dyDescent="0.25">
      <c r="B54" s="2" t="s">
        <v>73</v>
      </c>
      <c r="C54" s="1">
        <v>392200</v>
      </c>
      <c r="D54" s="6">
        <v>0.8</v>
      </c>
      <c r="E54" s="6">
        <v>0.08</v>
      </c>
      <c r="F54" s="6"/>
      <c r="G54" s="6">
        <v>0.12</v>
      </c>
      <c r="H54" s="6"/>
      <c r="I54" s="6">
        <f t="shared" si="7"/>
        <v>1</v>
      </c>
      <c r="J54" s="5">
        <v>0.43</v>
      </c>
      <c r="K54" s="5"/>
      <c r="L54" s="5"/>
      <c r="M54" s="5"/>
      <c r="N54" s="5"/>
      <c r="O54" s="5">
        <f>0.19*0.75</f>
        <v>0.14250000000000002</v>
      </c>
      <c r="P54" s="5"/>
      <c r="Q54" s="5">
        <f>0.19*0.25</f>
        <v>4.7500000000000001E-2</v>
      </c>
      <c r="R54" s="5">
        <v>0.03</v>
      </c>
      <c r="S54" s="5">
        <v>0.02</v>
      </c>
      <c r="T54" s="5">
        <v>0.32</v>
      </c>
      <c r="U54" s="5"/>
      <c r="V54" s="5"/>
      <c r="W54" s="5"/>
      <c r="X54" s="5">
        <v>0.01</v>
      </c>
      <c r="Z54" s="6">
        <f t="shared" si="4"/>
        <v>1</v>
      </c>
      <c r="AB54" s="9">
        <f t="shared" si="5"/>
        <v>168646</v>
      </c>
      <c r="AC54" s="9">
        <f t="shared" si="8"/>
        <v>134916.80000000002</v>
      </c>
      <c r="AD54" s="9">
        <f t="shared" si="8"/>
        <v>13491.68</v>
      </c>
      <c r="AE54" s="9">
        <f t="shared" si="8"/>
        <v>0</v>
      </c>
      <c r="AF54" s="9">
        <f t="shared" si="8"/>
        <v>20237.52</v>
      </c>
      <c r="AG54" s="9">
        <f t="shared" si="8"/>
        <v>0</v>
      </c>
      <c r="AH54" s="9">
        <f t="shared" si="9"/>
        <v>0</v>
      </c>
      <c r="AI54" s="9">
        <f t="shared" si="9"/>
        <v>0</v>
      </c>
      <c r="AJ54" s="9">
        <f t="shared" si="11"/>
        <v>0</v>
      </c>
      <c r="AK54" s="9">
        <f t="shared" si="11"/>
        <v>55888.500000000007</v>
      </c>
      <c r="AL54" s="9">
        <f t="shared" si="10"/>
        <v>0</v>
      </c>
      <c r="AM54" s="9">
        <f t="shared" si="10"/>
        <v>18629.5</v>
      </c>
      <c r="AN54" s="9">
        <f t="shared" si="10"/>
        <v>11766</v>
      </c>
      <c r="AO54" s="9">
        <f t="shared" si="10"/>
        <v>7844</v>
      </c>
      <c r="AP54" s="9">
        <f t="shared" si="10"/>
        <v>125504</v>
      </c>
      <c r="AQ54" s="9">
        <f t="shared" si="10"/>
        <v>0</v>
      </c>
      <c r="AR54" s="9">
        <f t="shared" si="10"/>
        <v>0</v>
      </c>
      <c r="AS54" s="9">
        <f t="shared" si="10"/>
        <v>0</v>
      </c>
      <c r="AT54" s="9">
        <f t="shared" si="10"/>
        <v>3922</v>
      </c>
    </row>
    <row r="55" spans="2:46" x14ac:dyDescent="0.25">
      <c r="B55" s="2" t="s">
        <v>74</v>
      </c>
      <c r="C55" s="1">
        <v>538400</v>
      </c>
      <c r="D55" s="6">
        <v>0.6</v>
      </c>
      <c r="E55" s="6">
        <v>0.4</v>
      </c>
      <c r="F55" s="6"/>
      <c r="G55" s="6"/>
      <c r="H55" s="6"/>
      <c r="I55" s="6">
        <f t="shared" si="7"/>
        <v>1</v>
      </c>
      <c r="J55" s="5">
        <v>0.53</v>
      </c>
      <c r="K55" s="5">
        <f>0.3*0.35</f>
        <v>0.105</v>
      </c>
      <c r="L55" s="5">
        <f>0.3*0.65</f>
        <v>0.19500000000000001</v>
      </c>
      <c r="M55" s="5"/>
      <c r="N55" s="5"/>
      <c r="O55" s="5">
        <v>1.4999999999999999E-2</v>
      </c>
      <c r="P55" s="5"/>
      <c r="Q55" s="5">
        <v>1.4999999999999999E-2</v>
      </c>
      <c r="R55" s="5">
        <v>0.02</v>
      </c>
      <c r="S55" s="5">
        <v>0.1</v>
      </c>
      <c r="T55" s="5">
        <v>0.01</v>
      </c>
      <c r="U55" s="5"/>
      <c r="V55" s="5"/>
      <c r="W55" s="5"/>
      <c r="X55" s="5">
        <v>0.01</v>
      </c>
      <c r="Z55" s="6">
        <f t="shared" si="4"/>
        <v>1</v>
      </c>
      <c r="AB55" s="9">
        <f t="shared" si="5"/>
        <v>285352</v>
      </c>
      <c r="AC55" s="9">
        <f t="shared" si="8"/>
        <v>171211.2</v>
      </c>
      <c r="AD55" s="9">
        <f t="shared" si="8"/>
        <v>114140.80000000002</v>
      </c>
      <c r="AE55" s="9">
        <f t="shared" si="8"/>
        <v>0</v>
      </c>
      <c r="AF55" s="9">
        <f t="shared" si="8"/>
        <v>0</v>
      </c>
      <c r="AG55" s="9">
        <f t="shared" si="8"/>
        <v>0</v>
      </c>
      <c r="AH55" s="9">
        <f t="shared" si="9"/>
        <v>56532</v>
      </c>
      <c r="AI55" s="9">
        <f t="shared" si="9"/>
        <v>104988</v>
      </c>
      <c r="AJ55" s="9">
        <f t="shared" si="11"/>
        <v>0</v>
      </c>
      <c r="AK55" s="9">
        <f t="shared" si="11"/>
        <v>8076</v>
      </c>
      <c r="AL55" s="9">
        <f t="shared" si="10"/>
        <v>0</v>
      </c>
      <c r="AM55" s="9">
        <f t="shared" si="10"/>
        <v>8076</v>
      </c>
      <c r="AN55" s="9">
        <f t="shared" si="10"/>
        <v>10768</v>
      </c>
      <c r="AO55" s="9">
        <f t="shared" si="10"/>
        <v>53840</v>
      </c>
      <c r="AP55" s="9">
        <f t="shared" si="10"/>
        <v>5384</v>
      </c>
      <c r="AQ55" s="9">
        <f t="shared" si="10"/>
        <v>0</v>
      </c>
      <c r="AR55" s="9">
        <f t="shared" si="10"/>
        <v>0</v>
      </c>
      <c r="AS55" s="9">
        <f t="shared" si="10"/>
        <v>0</v>
      </c>
      <c r="AT55" s="9">
        <f t="shared" si="10"/>
        <v>5384</v>
      </c>
    </row>
    <row r="56" spans="2:46" x14ac:dyDescent="0.25">
      <c r="B56" s="2" t="s">
        <v>75</v>
      </c>
      <c r="C56" s="1">
        <v>277400</v>
      </c>
      <c r="D56" s="6"/>
      <c r="E56" s="6"/>
      <c r="F56" s="6">
        <v>1</v>
      </c>
      <c r="G56" s="6"/>
      <c r="H56" s="6"/>
      <c r="I56" s="6">
        <f t="shared" si="7"/>
        <v>1</v>
      </c>
      <c r="J56" s="5">
        <v>0.94</v>
      </c>
      <c r="K56" s="5"/>
      <c r="L56" s="5"/>
      <c r="M56" s="5"/>
      <c r="N56" s="5"/>
      <c r="O56" s="5"/>
      <c r="P56" s="5"/>
      <c r="Q56" s="5"/>
      <c r="R56" s="5"/>
      <c r="S56" s="5">
        <v>0.02</v>
      </c>
      <c r="T56" s="5"/>
      <c r="U56" s="5">
        <v>0.01</v>
      </c>
      <c r="V56" s="5">
        <v>0.02</v>
      </c>
      <c r="W56" s="5"/>
      <c r="X56" s="5">
        <v>0.01</v>
      </c>
      <c r="Z56" s="6">
        <f t="shared" si="4"/>
        <v>1</v>
      </c>
      <c r="AB56" s="9">
        <f t="shared" si="5"/>
        <v>260755.99999999997</v>
      </c>
      <c r="AC56" s="9">
        <f t="shared" si="8"/>
        <v>0</v>
      </c>
      <c r="AD56" s="9">
        <f t="shared" si="8"/>
        <v>0</v>
      </c>
      <c r="AE56" s="9">
        <f t="shared" si="8"/>
        <v>260755.99999999997</v>
      </c>
      <c r="AF56" s="9">
        <f t="shared" si="8"/>
        <v>0</v>
      </c>
      <c r="AG56" s="9">
        <f t="shared" si="8"/>
        <v>0</v>
      </c>
      <c r="AH56" s="9">
        <f t="shared" si="9"/>
        <v>0</v>
      </c>
      <c r="AI56" s="9">
        <f t="shared" si="9"/>
        <v>0</v>
      </c>
      <c r="AJ56" s="9">
        <f t="shared" si="11"/>
        <v>0</v>
      </c>
      <c r="AK56" s="9">
        <f t="shared" si="11"/>
        <v>0</v>
      </c>
      <c r="AL56" s="9">
        <f t="shared" si="10"/>
        <v>0</v>
      </c>
      <c r="AM56" s="9">
        <f t="shared" si="10"/>
        <v>0</v>
      </c>
      <c r="AN56" s="9">
        <f t="shared" si="10"/>
        <v>0</v>
      </c>
      <c r="AO56" s="9">
        <f t="shared" si="10"/>
        <v>5548</v>
      </c>
      <c r="AP56" s="9">
        <f t="shared" si="10"/>
        <v>0</v>
      </c>
      <c r="AQ56" s="9">
        <f t="shared" si="10"/>
        <v>2774</v>
      </c>
      <c r="AR56" s="9">
        <f t="shared" si="10"/>
        <v>5548</v>
      </c>
      <c r="AS56" s="9">
        <f t="shared" si="10"/>
        <v>0</v>
      </c>
      <c r="AT56" s="9">
        <f t="shared" si="10"/>
        <v>2774</v>
      </c>
    </row>
    <row r="57" spans="2:46" x14ac:dyDescent="0.25">
      <c r="B57" s="2" t="s">
        <v>76</v>
      </c>
      <c r="C57" s="1">
        <v>682200</v>
      </c>
      <c r="D57" s="6">
        <v>0.5</v>
      </c>
      <c r="E57" s="6">
        <v>0.4</v>
      </c>
      <c r="F57" s="6"/>
      <c r="G57" s="6"/>
      <c r="H57" s="6">
        <v>0.1</v>
      </c>
      <c r="I57" s="6">
        <f t="shared" si="7"/>
        <v>1</v>
      </c>
      <c r="J57" s="5">
        <v>0.79</v>
      </c>
      <c r="K57" s="5"/>
      <c r="L57" s="5">
        <v>0.03</v>
      </c>
      <c r="M57" s="5"/>
      <c r="N57" s="5"/>
      <c r="O57" s="5">
        <v>2.5000000000000001E-2</v>
      </c>
      <c r="P57" s="5"/>
      <c r="Q57" s="5">
        <v>2.5000000000000001E-2</v>
      </c>
      <c r="R57" s="5">
        <v>0.02</v>
      </c>
      <c r="S57" s="5">
        <v>0.09</v>
      </c>
      <c r="T57" s="5">
        <v>0.01</v>
      </c>
      <c r="U57" s="5">
        <v>0.01</v>
      </c>
      <c r="V57" s="5"/>
      <c r="W57" s="5"/>
      <c r="X57" s="5"/>
      <c r="Z57" s="6">
        <f t="shared" si="4"/>
        <v>1</v>
      </c>
      <c r="AB57" s="9">
        <f t="shared" si="5"/>
        <v>538938</v>
      </c>
      <c r="AC57" s="9">
        <f t="shared" si="8"/>
        <v>269469</v>
      </c>
      <c r="AD57" s="9">
        <f t="shared" si="8"/>
        <v>215575.20000000004</v>
      </c>
      <c r="AE57" s="9">
        <f t="shared" si="8"/>
        <v>0</v>
      </c>
      <c r="AF57" s="9">
        <f t="shared" si="8"/>
        <v>0</v>
      </c>
      <c r="AG57" s="9">
        <f t="shared" si="8"/>
        <v>53893.80000000001</v>
      </c>
      <c r="AH57" s="9">
        <f t="shared" si="9"/>
        <v>0</v>
      </c>
      <c r="AI57" s="9">
        <f t="shared" si="9"/>
        <v>20466</v>
      </c>
      <c r="AJ57" s="9">
        <f t="shared" si="11"/>
        <v>0</v>
      </c>
      <c r="AK57" s="9">
        <f t="shared" si="11"/>
        <v>17055</v>
      </c>
      <c r="AL57" s="9">
        <f t="shared" si="10"/>
        <v>0</v>
      </c>
      <c r="AM57" s="9">
        <f t="shared" si="10"/>
        <v>17055</v>
      </c>
      <c r="AN57" s="9">
        <f t="shared" si="10"/>
        <v>13644</v>
      </c>
      <c r="AO57" s="9">
        <f t="shared" si="10"/>
        <v>61398</v>
      </c>
      <c r="AP57" s="9">
        <f t="shared" si="10"/>
        <v>6822</v>
      </c>
      <c r="AQ57" s="9">
        <f t="shared" si="10"/>
        <v>6822</v>
      </c>
      <c r="AR57" s="9">
        <f t="shared" si="10"/>
        <v>0</v>
      </c>
      <c r="AS57" s="9">
        <f t="shared" si="10"/>
        <v>0</v>
      </c>
      <c r="AT57" s="9">
        <f t="shared" si="10"/>
        <v>0</v>
      </c>
    </row>
    <row r="58" spans="2:46" x14ac:dyDescent="0.25">
      <c r="B58" s="2" t="s">
        <v>77</v>
      </c>
      <c r="C58" s="1">
        <v>751850</v>
      </c>
      <c r="D58" s="6">
        <v>1</v>
      </c>
      <c r="E58" s="6"/>
      <c r="F58" s="6"/>
      <c r="G58" s="6"/>
      <c r="H58" s="6"/>
      <c r="I58" s="6">
        <f t="shared" si="7"/>
        <v>1</v>
      </c>
      <c r="J58" s="5">
        <v>0.79</v>
      </c>
      <c r="K58" s="5"/>
      <c r="L58" s="5">
        <v>0.03</v>
      </c>
      <c r="M58" s="5"/>
      <c r="N58" s="5"/>
      <c r="O58" s="5"/>
      <c r="P58" s="5"/>
      <c r="Q58" s="5">
        <v>0.05</v>
      </c>
      <c r="R58" s="5">
        <v>0.02</v>
      </c>
      <c r="S58" s="5">
        <v>0.09</v>
      </c>
      <c r="T58" s="5">
        <v>0.01</v>
      </c>
      <c r="U58" s="5">
        <v>0.01</v>
      </c>
      <c r="V58" s="5"/>
      <c r="W58" s="5"/>
      <c r="X58" s="5"/>
      <c r="Z58" s="6">
        <f t="shared" si="4"/>
        <v>1</v>
      </c>
      <c r="AB58" s="9">
        <f t="shared" si="5"/>
        <v>593961.5</v>
      </c>
      <c r="AC58" s="9">
        <f t="shared" si="8"/>
        <v>593961.5</v>
      </c>
      <c r="AD58" s="9">
        <f t="shared" si="8"/>
        <v>0</v>
      </c>
      <c r="AE58" s="9">
        <f t="shared" si="8"/>
        <v>0</v>
      </c>
      <c r="AF58" s="9">
        <f t="shared" si="8"/>
        <v>0</v>
      </c>
      <c r="AG58" s="9">
        <f t="shared" si="8"/>
        <v>0</v>
      </c>
      <c r="AH58" s="9">
        <f t="shared" si="9"/>
        <v>0</v>
      </c>
      <c r="AI58" s="9">
        <f t="shared" si="9"/>
        <v>22555.5</v>
      </c>
      <c r="AJ58" s="9">
        <f t="shared" si="11"/>
        <v>0</v>
      </c>
      <c r="AK58" s="9">
        <f t="shared" si="11"/>
        <v>0</v>
      </c>
      <c r="AL58" s="9">
        <f t="shared" si="10"/>
        <v>0</v>
      </c>
      <c r="AM58" s="9">
        <f t="shared" si="10"/>
        <v>37592.5</v>
      </c>
      <c r="AN58" s="9">
        <f t="shared" si="10"/>
        <v>15037</v>
      </c>
      <c r="AO58" s="9">
        <f t="shared" si="10"/>
        <v>67666.5</v>
      </c>
      <c r="AP58" s="9">
        <f t="shared" si="10"/>
        <v>7518.5</v>
      </c>
      <c r="AQ58" s="9">
        <f t="shared" si="10"/>
        <v>7518.5</v>
      </c>
      <c r="AR58" s="9">
        <f t="shared" si="10"/>
        <v>0</v>
      </c>
      <c r="AS58" s="9">
        <f t="shared" si="10"/>
        <v>0</v>
      </c>
      <c r="AT58" s="9">
        <f t="shared" si="10"/>
        <v>0</v>
      </c>
    </row>
    <row r="59" spans="2:46" x14ac:dyDescent="0.25">
      <c r="B59" s="2" t="s">
        <v>78</v>
      </c>
      <c r="C59" s="1">
        <v>10000</v>
      </c>
      <c r="D59" s="6"/>
      <c r="E59" s="6">
        <v>0.5</v>
      </c>
      <c r="F59" s="6">
        <v>0.4</v>
      </c>
      <c r="G59" s="6">
        <v>0.1</v>
      </c>
      <c r="H59" s="6"/>
      <c r="I59" s="6">
        <f t="shared" si="7"/>
        <v>1</v>
      </c>
      <c r="J59" s="5">
        <v>0.37</v>
      </c>
      <c r="K59" s="5"/>
      <c r="L59" s="5"/>
      <c r="M59" s="5"/>
      <c r="N59" s="5">
        <v>0.25</v>
      </c>
      <c r="O59" s="5"/>
      <c r="P59" s="5"/>
      <c r="Q59" s="5"/>
      <c r="R59" s="5">
        <v>0.18</v>
      </c>
      <c r="S59" s="5">
        <v>0.1</v>
      </c>
      <c r="T59" s="5">
        <v>0.05</v>
      </c>
      <c r="U59" s="5"/>
      <c r="V59" s="5"/>
      <c r="W59" s="5"/>
      <c r="X59" s="5">
        <v>0.05</v>
      </c>
      <c r="Z59" s="6">
        <f t="shared" si="4"/>
        <v>1</v>
      </c>
      <c r="AB59" s="9">
        <f t="shared" si="5"/>
        <v>3700</v>
      </c>
      <c r="AC59" s="9">
        <f t="shared" si="8"/>
        <v>0</v>
      </c>
      <c r="AD59" s="9">
        <f t="shared" si="8"/>
        <v>1850</v>
      </c>
      <c r="AE59" s="9">
        <f t="shared" si="8"/>
        <v>1480</v>
      </c>
      <c r="AF59" s="9">
        <f t="shared" si="8"/>
        <v>370</v>
      </c>
      <c r="AG59" s="9">
        <f t="shared" si="8"/>
        <v>0</v>
      </c>
      <c r="AH59" s="9">
        <f t="shared" si="9"/>
        <v>0</v>
      </c>
      <c r="AI59" s="9">
        <f t="shared" si="9"/>
        <v>0</v>
      </c>
      <c r="AJ59" s="9">
        <f t="shared" si="11"/>
        <v>2500</v>
      </c>
      <c r="AK59" s="9">
        <f t="shared" si="11"/>
        <v>0</v>
      </c>
      <c r="AL59" s="9">
        <f t="shared" si="10"/>
        <v>0</v>
      </c>
      <c r="AM59" s="9">
        <f t="shared" si="10"/>
        <v>0</v>
      </c>
      <c r="AN59" s="9">
        <f t="shared" si="10"/>
        <v>1800</v>
      </c>
      <c r="AO59" s="9">
        <f t="shared" si="10"/>
        <v>1000</v>
      </c>
      <c r="AP59" s="9">
        <f t="shared" si="10"/>
        <v>500</v>
      </c>
      <c r="AQ59" s="9">
        <f t="shared" si="10"/>
        <v>0</v>
      </c>
      <c r="AR59" s="9">
        <f t="shared" si="10"/>
        <v>0</v>
      </c>
      <c r="AS59" s="9">
        <f t="shared" si="10"/>
        <v>0</v>
      </c>
      <c r="AT59" s="9">
        <f t="shared" si="10"/>
        <v>500</v>
      </c>
    </row>
    <row r="60" spans="2:46" x14ac:dyDescent="0.25">
      <c r="B60" s="2" t="s">
        <v>79</v>
      </c>
      <c r="C60" s="1">
        <v>668800</v>
      </c>
      <c r="D60" s="6">
        <v>0.12</v>
      </c>
      <c r="E60" s="6">
        <v>0.8</v>
      </c>
      <c r="F60" s="6"/>
      <c r="G60" s="6">
        <v>0.08</v>
      </c>
      <c r="H60" s="6"/>
      <c r="I60" s="6">
        <f t="shared" si="7"/>
        <v>1</v>
      </c>
      <c r="J60" s="5">
        <v>0.79</v>
      </c>
      <c r="K60" s="5"/>
      <c r="L60" s="5">
        <v>0.02</v>
      </c>
      <c r="M60" s="5"/>
      <c r="N60" s="5"/>
      <c r="O60" s="5">
        <v>0.09</v>
      </c>
      <c r="P60" s="5"/>
      <c r="Q60" s="5"/>
      <c r="R60" s="5">
        <v>0.05</v>
      </c>
      <c r="S60" s="5">
        <v>0.03</v>
      </c>
      <c r="T60" s="5">
        <v>0.01</v>
      </c>
      <c r="U60" s="5">
        <v>0.01</v>
      </c>
      <c r="V60" s="5"/>
      <c r="W60" s="5"/>
      <c r="X60" s="5"/>
      <c r="Z60" s="6">
        <f t="shared" si="4"/>
        <v>1</v>
      </c>
      <c r="AB60" s="9">
        <f t="shared" si="5"/>
        <v>528352</v>
      </c>
      <c r="AC60" s="9">
        <f t="shared" si="8"/>
        <v>63402.239999999998</v>
      </c>
      <c r="AD60" s="9">
        <f t="shared" si="8"/>
        <v>422681.60000000009</v>
      </c>
      <c r="AE60" s="9">
        <f t="shared" si="8"/>
        <v>0</v>
      </c>
      <c r="AF60" s="9">
        <f t="shared" si="8"/>
        <v>42268.160000000003</v>
      </c>
      <c r="AG60" s="9">
        <f t="shared" si="8"/>
        <v>0</v>
      </c>
      <c r="AH60" s="9">
        <f t="shared" si="9"/>
        <v>0</v>
      </c>
      <c r="AI60" s="9">
        <f t="shared" si="9"/>
        <v>13376</v>
      </c>
      <c r="AJ60" s="9">
        <f t="shared" si="11"/>
        <v>0</v>
      </c>
      <c r="AK60" s="9">
        <f t="shared" si="11"/>
        <v>60192</v>
      </c>
      <c r="AL60" s="9">
        <f t="shared" si="10"/>
        <v>0</v>
      </c>
      <c r="AM60" s="9">
        <f t="shared" si="10"/>
        <v>0</v>
      </c>
      <c r="AN60" s="9">
        <f t="shared" si="10"/>
        <v>33440</v>
      </c>
      <c r="AO60" s="9">
        <f t="shared" si="10"/>
        <v>20064</v>
      </c>
      <c r="AP60" s="9">
        <f t="shared" si="10"/>
        <v>6688</v>
      </c>
      <c r="AQ60" s="9">
        <f t="shared" si="10"/>
        <v>6688</v>
      </c>
      <c r="AR60" s="9">
        <f t="shared" si="10"/>
        <v>0</v>
      </c>
      <c r="AS60" s="9">
        <f t="shared" si="10"/>
        <v>0</v>
      </c>
      <c r="AT60" s="9">
        <f t="shared" si="10"/>
        <v>0</v>
      </c>
    </row>
    <row r="61" spans="2:46" x14ac:dyDescent="0.25">
      <c r="B61" s="2" t="s">
        <v>80</v>
      </c>
      <c r="C61" s="1">
        <v>177800</v>
      </c>
      <c r="D61" s="6">
        <v>0.06</v>
      </c>
      <c r="E61" s="6">
        <v>0.8</v>
      </c>
      <c r="F61" s="6"/>
      <c r="G61" s="6">
        <v>0.1</v>
      </c>
      <c r="H61" s="6">
        <v>0.04</v>
      </c>
      <c r="I61" s="6">
        <f t="shared" si="7"/>
        <v>1</v>
      </c>
      <c r="J61" s="5">
        <v>0.79</v>
      </c>
      <c r="K61" s="5"/>
      <c r="L61" s="5">
        <v>0.02</v>
      </c>
      <c r="M61" s="5"/>
      <c r="N61" s="5"/>
      <c r="O61" s="5"/>
      <c r="P61" s="5"/>
      <c r="Q61" s="5">
        <v>0.09</v>
      </c>
      <c r="R61" s="5">
        <v>0.05</v>
      </c>
      <c r="S61" s="5">
        <v>0.03</v>
      </c>
      <c r="T61" s="5">
        <v>0.01</v>
      </c>
      <c r="U61" s="5">
        <v>0.01</v>
      </c>
      <c r="V61" s="5"/>
      <c r="W61" s="5"/>
      <c r="X61" s="5"/>
      <c r="Z61" s="6">
        <f t="shared" si="4"/>
        <v>1</v>
      </c>
      <c r="AB61" s="9">
        <f t="shared" si="5"/>
        <v>140462</v>
      </c>
      <c r="AC61" s="9">
        <f t="shared" si="8"/>
        <v>8427.7199999999993</v>
      </c>
      <c r="AD61" s="9">
        <f t="shared" si="8"/>
        <v>112369.60000000002</v>
      </c>
      <c r="AE61" s="9">
        <f t="shared" si="8"/>
        <v>0</v>
      </c>
      <c r="AF61" s="9">
        <f t="shared" si="8"/>
        <v>14046.200000000003</v>
      </c>
      <c r="AG61" s="9">
        <f t="shared" si="8"/>
        <v>5618.4800000000005</v>
      </c>
      <c r="AH61" s="9">
        <f t="shared" si="9"/>
        <v>0</v>
      </c>
      <c r="AI61" s="9">
        <f t="shared" si="9"/>
        <v>3556</v>
      </c>
      <c r="AJ61" s="9">
        <f t="shared" si="11"/>
        <v>0</v>
      </c>
      <c r="AK61" s="9">
        <f t="shared" si="11"/>
        <v>0</v>
      </c>
      <c r="AL61" s="9">
        <f t="shared" si="10"/>
        <v>0</v>
      </c>
      <c r="AM61" s="9">
        <f t="shared" si="10"/>
        <v>16002</v>
      </c>
      <c r="AN61" s="9">
        <f t="shared" si="10"/>
        <v>8890</v>
      </c>
      <c r="AO61" s="9">
        <f t="shared" ref="AO61:AT94" si="12">$C61*S61</f>
        <v>5334</v>
      </c>
      <c r="AP61" s="9">
        <f t="shared" si="12"/>
        <v>1778</v>
      </c>
      <c r="AQ61" s="9">
        <f t="shared" si="12"/>
        <v>1778</v>
      </c>
      <c r="AR61" s="9">
        <f t="shared" si="12"/>
        <v>0</v>
      </c>
      <c r="AS61" s="9">
        <f t="shared" si="12"/>
        <v>0</v>
      </c>
      <c r="AT61" s="9">
        <f t="shared" si="12"/>
        <v>0</v>
      </c>
    </row>
    <row r="62" spans="2:46" x14ac:dyDescent="0.25">
      <c r="B62" s="2" t="s">
        <v>81</v>
      </c>
      <c r="C62" s="1">
        <v>120000</v>
      </c>
      <c r="D62" s="6"/>
      <c r="E62" s="6">
        <v>0.85</v>
      </c>
      <c r="F62" s="6"/>
      <c r="G62" s="6">
        <v>0.15</v>
      </c>
      <c r="H62" s="6"/>
      <c r="I62" s="6">
        <f t="shared" si="7"/>
        <v>1</v>
      </c>
      <c r="J62" s="5">
        <v>0.96</v>
      </c>
      <c r="K62" s="5"/>
      <c r="L62" s="5"/>
      <c r="M62" s="5"/>
      <c r="N62" s="5"/>
      <c r="O62" s="5">
        <v>5.0000000000000001E-3</v>
      </c>
      <c r="P62" s="5"/>
      <c r="Q62" s="5">
        <v>5.0000000000000001E-3</v>
      </c>
      <c r="R62" s="5"/>
      <c r="S62" s="5">
        <v>0.02</v>
      </c>
      <c r="T62" s="5"/>
      <c r="U62" s="5"/>
      <c r="V62" s="5"/>
      <c r="W62" s="5"/>
      <c r="X62" s="5">
        <v>0.01</v>
      </c>
      <c r="Z62" s="6">
        <f t="shared" si="4"/>
        <v>1</v>
      </c>
      <c r="AB62" s="9">
        <f t="shared" si="5"/>
        <v>115200</v>
      </c>
      <c r="AC62" s="9">
        <f t="shared" ref="AC62:AG64" si="13">D62*$J62*$C62</f>
        <v>0</v>
      </c>
      <c r="AD62" s="9">
        <f t="shared" si="13"/>
        <v>97920</v>
      </c>
      <c r="AE62" s="9">
        <f t="shared" si="13"/>
        <v>0</v>
      </c>
      <c r="AF62" s="9">
        <f t="shared" si="13"/>
        <v>17280</v>
      </c>
      <c r="AG62" s="9">
        <f t="shared" si="13"/>
        <v>0</v>
      </c>
      <c r="AH62" s="9">
        <f t="shared" si="9"/>
        <v>0</v>
      </c>
      <c r="AI62" s="9">
        <f t="shared" si="9"/>
        <v>0</v>
      </c>
      <c r="AJ62" s="9">
        <f t="shared" si="11"/>
        <v>0</v>
      </c>
      <c r="AK62" s="9">
        <f t="shared" si="11"/>
        <v>600</v>
      </c>
      <c r="AL62" s="9">
        <f t="shared" si="11"/>
        <v>0</v>
      </c>
      <c r="AM62" s="9">
        <f t="shared" si="11"/>
        <v>600</v>
      </c>
      <c r="AN62" s="9">
        <f t="shared" si="11"/>
        <v>0</v>
      </c>
      <c r="AO62" s="9">
        <f t="shared" si="12"/>
        <v>2400</v>
      </c>
      <c r="AP62" s="9">
        <f t="shared" si="12"/>
        <v>0</v>
      </c>
      <c r="AQ62" s="9">
        <f t="shared" si="12"/>
        <v>0</v>
      </c>
      <c r="AR62" s="9">
        <f t="shared" si="12"/>
        <v>0</v>
      </c>
      <c r="AS62" s="9">
        <f t="shared" si="12"/>
        <v>0</v>
      </c>
      <c r="AT62" s="9">
        <f t="shared" si="12"/>
        <v>1200</v>
      </c>
    </row>
    <row r="63" spans="2:46" x14ac:dyDescent="0.25">
      <c r="B63" s="2" t="s">
        <v>82</v>
      </c>
      <c r="C63" s="1">
        <v>305900</v>
      </c>
      <c r="D63" s="6">
        <v>0.5</v>
      </c>
      <c r="E63" s="6">
        <v>0.4</v>
      </c>
      <c r="F63" s="6"/>
      <c r="G63" s="6">
        <v>0.1</v>
      </c>
      <c r="H63" s="6"/>
      <c r="I63" s="6">
        <f t="shared" si="7"/>
        <v>1</v>
      </c>
      <c r="J63" s="5">
        <v>0.79</v>
      </c>
      <c r="K63" s="5"/>
      <c r="L63" s="5">
        <v>0.03</v>
      </c>
      <c r="M63" s="5"/>
      <c r="N63" s="5"/>
      <c r="O63" s="5">
        <v>0.05</v>
      </c>
      <c r="P63" s="5"/>
      <c r="Q63" s="5"/>
      <c r="R63" s="5">
        <v>0.02</v>
      </c>
      <c r="S63" s="5">
        <v>0.09</v>
      </c>
      <c r="T63" s="5">
        <v>0.01</v>
      </c>
      <c r="U63" s="5">
        <v>0.01</v>
      </c>
      <c r="V63" s="5"/>
      <c r="W63" s="5"/>
      <c r="X63" s="5"/>
      <c r="Z63" s="6">
        <f t="shared" si="4"/>
        <v>1</v>
      </c>
      <c r="AB63" s="9">
        <f t="shared" si="5"/>
        <v>241661</v>
      </c>
      <c r="AC63" s="9">
        <f t="shared" si="13"/>
        <v>120830.5</v>
      </c>
      <c r="AD63" s="9">
        <f t="shared" si="13"/>
        <v>96664.400000000023</v>
      </c>
      <c r="AE63" s="9">
        <f t="shared" si="13"/>
        <v>0</v>
      </c>
      <c r="AF63" s="9">
        <f t="shared" si="13"/>
        <v>24166.100000000006</v>
      </c>
      <c r="AG63" s="9">
        <f t="shared" si="13"/>
        <v>0</v>
      </c>
      <c r="AH63" s="9">
        <f t="shared" si="9"/>
        <v>0</v>
      </c>
      <c r="AI63" s="9">
        <f t="shared" si="9"/>
        <v>9177</v>
      </c>
      <c r="AJ63" s="9">
        <f t="shared" si="11"/>
        <v>0</v>
      </c>
      <c r="AK63" s="9">
        <f t="shared" si="11"/>
        <v>15295</v>
      </c>
      <c r="AL63" s="9">
        <f t="shared" si="11"/>
        <v>0</v>
      </c>
      <c r="AM63" s="9">
        <f t="shared" si="11"/>
        <v>0</v>
      </c>
      <c r="AN63" s="9">
        <f t="shared" si="11"/>
        <v>6118</v>
      </c>
      <c r="AO63" s="9">
        <f t="shared" si="12"/>
        <v>27531</v>
      </c>
      <c r="AP63" s="9">
        <f t="shared" si="12"/>
        <v>3059</v>
      </c>
      <c r="AQ63" s="9">
        <f t="shared" si="12"/>
        <v>3059</v>
      </c>
      <c r="AR63" s="9">
        <f t="shared" si="12"/>
        <v>0</v>
      </c>
      <c r="AS63" s="9">
        <f t="shared" si="12"/>
        <v>0</v>
      </c>
      <c r="AT63" s="9">
        <f t="shared" si="12"/>
        <v>0</v>
      </c>
    </row>
    <row r="64" spans="2:46" x14ac:dyDescent="0.25">
      <c r="B64" s="2" t="s">
        <v>83</v>
      </c>
      <c r="C64" s="1">
        <v>1628300</v>
      </c>
      <c r="D64" s="6"/>
      <c r="E64" s="6"/>
      <c r="F64" s="6">
        <v>1</v>
      </c>
      <c r="G64" s="6"/>
      <c r="H64" s="6"/>
      <c r="I64" s="6">
        <f t="shared" si="7"/>
        <v>1</v>
      </c>
      <c r="J64" s="5">
        <v>0.88</v>
      </c>
      <c r="K64" s="5"/>
      <c r="L64" s="5"/>
      <c r="M64" s="5"/>
      <c r="N64" s="5"/>
      <c r="O64" s="5"/>
      <c r="P64" s="5"/>
      <c r="Q64" s="5"/>
      <c r="R64" s="5"/>
      <c r="S64" s="5">
        <v>0.01</v>
      </c>
      <c r="T64" s="5"/>
      <c r="U64" s="5"/>
      <c r="V64" s="5">
        <v>0.1</v>
      </c>
      <c r="W64" s="5"/>
      <c r="X64" s="5">
        <v>0.01</v>
      </c>
      <c r="Z64" s="6">
        <f t="shared" si="4"/>
        <v>1</v>
      </c>
      <c r="AB64" s="9">
        <f t="shared" si="5"/>
        <v>1432904</v>
      </c>
      <c r="AC64" s="9">
        <f t="shared" si="13"/>
        <v>0</v>
      </c>
      <c r="AD64" s="9">
        <f t="shared" si="13"/>
        <v>0</v>
      </c>
      <c r="AE64" s="9">
        <f t="shared" si="13"/>
        <v>1432904</v>
      </c>
      <c r="AF64" s="9">
        <f t="shared" si="13"/>
        <v>0</v>
      </c>
      <c r="AG64" s="9">
        <f t="shared" si="13"/>
        <v>0</v>
      </c>
      <c r="AH64" s="9">
        <f t="shared" si="9"/>
        <v>0</v>
      </c>
      <c r="AI64" s="9">
        <f t="shared" si="9"/>
        <v>0</v>
      </c>
      <c r="AJ64" s="9">
        <f t="shared" si="11"/>
        <v>0</v>
      </c>
      <c r="AK64" s="9">
        <f t="shared" si="11"/>
        <v>0</v>
      </c>
      <c r="AL64" s="9">
        <f t="shared" si="11"/>
        <v>0</v>
      </c>
      <c r="AM64" s="9">
        <f t="shared" si="11"/>
        <v>0</v>
      </c>
      <c r="AN64" s="9">
        <f t="shared" si="11"/>
        <v>0</v>
      </c>
      <c r="AO64" s="9">
        <f t="shared" si="12"/>
        <v>16283</v>
      </c>
      <c r="AP64" s="9">
        <f t="shared" si="12"/>
        <v>0</v>
      </c>
      <c r="AQ64" s="9">
        <f t="shared" si="12"/>
        <v>0</v>
      </c>
      <c r="AR64" s="9">
        <f t="shared" si="12"/>
        <v>162830</v>
      </c>
      <c r="AS64" s="9">
        <f t="shared" si="12"/>
        <v>0</v>
      </c>
      <c r="AT64" s="9">
        <f t="shared" si="12"/>
        <v>16283</v>
      </c>
    </row>
    <row r="65" spans="1:46" x14ac:dyDescent="0.25"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Z65" s="6">
        <f t="shared" si="4"/>
        <v>0</v>
      </c>
      <c r="AB65" s="9">
        <f t="shared" si="5"/>
        <v>0</v>
      </c>
      <c r="AC65" s="9"/>
      <c r="AD65" s="9"/>
      <c r="AE65" s="9"/>
      <c r="AF65" s="9"/>
      <c r="AG65" s="9"/>
      <c r="AH65" s="9">
        <f t="shared" si="9"/>
        <v>0</v>
      </c>
      <c r="AI65" s="9">
        <f t="shared" si="9"/>
        <v>0</v>
      </c>
      <c r="AJ65" s="9">
        <f t="shared" si="11"/>
        <v>0</v>
      </c>
      <c r="AK65" s="9">
        <f t="shared" si="11"/>
        <v>0</v>
      </c>
      <c r="AL65" s="9">
        <f t="shared" si="11"/>
        <v>0</v>
      </c>
      <c r="AM65" s="9">
        <f t="shared" si="11"/>
        <v>0</v>
      </c>
      <c r="AN65" s="9">
        <f t="shared" si="11"/>
        <v>0</v>
      </c>
      <c r="AO65" s="9">
        <f t="shared" si="12"/>
        <v>0</v>
      </c>
      <c r="AP65" s="9">
        <f t="shared" si="12"/>
        <v>0</v>
      </c>
      <c r="AQ65" s="9">
        <f t="shared" si="12"/>
        <v>0</v>
      </c>
      <c r="AR65" s="9">
        <f t="shared" si="12"/>
        <v>0</v>
      </c>
      <c r="AS65" s="9">
        <f t="shared" si="12"/>
        <v>0</v>
      </c>
      <c r="AT65" s="9">
        <f t="shared" si="12"/>
        <v>0</v>
      </c>
    </row>
    <row r="66" spans="1:46" x14ac:dyDescent="0.25"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Z66" s="6">
        <f t="shared" si="4"/>
        <v>0</v>
      </c>
      <c r="AB66" s="9">
        <f t="shared" si="5"/>
        <v>0</v>
      </c>
      <c r="AC66" s="9"/>
      <c r="AD66" s="9"/>
      <c r="AE66" s="9"/>
      <c r="AF66" s="9"/>
      <c r="AG66" s="9"/>
      <c r="AH66" s="9">
        <f t="shared" si="9"/>
        <v>0</v>
      </c>
      <c r="AI66" s="9">
        <f t="shared" si="9"/>
        <v>0</v>
      </c>
      <c r="AJ66" s="9">
        <f t="shared" ref="AJ66:AT99" si="14">$C66*N66</f>
        <v>0</v>
      </c>
      <c r="AK66" s="9">
        <f t="shared" si="14"/>
        <v>0</v>
      </c>
      <c r="AL66" s="9">
        <f t="shared" si="14"/>
        <v>0</v>
      </c>
      <c r="AM66" s="9">
        <f t="shared" si="14"/>
        <v>0</v>
      </c>
      <c r="AN66" s="9">
        <f t="shared" si="14"/>
        <v>0</v>
      </c>
      <c r="AO66" s="9">
        <f t="shared" si="12"/>
        <v>0</v>
      </c>
      <c r="AP66" s="9">
        <f t="shared" si="12"/>
        <v>0</v>
      </c>
      <c r="AQ66" s="9">
        <f t="shared" si="12"/>
        <v>0</v>
      </c>
      <c r="AR66" s="9">
        <f t="shared" si="12"/>
        <v>0</v>
      </c>
      <c r="AS66" s="9">
        <f t="shared" si="12"/>
        <v>0</v>
      </c>
      <c r="AT66" s="9">
        <f t="shared" si="12"/>
        <v>0</v>
      </c>
    </row>
    <row r="67" spans="1:46" x14ac:dyDescent="0.25"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Z67" s="6">
        <f t="shared" si="4"/>
        <v>0</v>
      </c>
      <c r="AB67" s="9">
        <f t="shared" si="5"/>
        <v>0</v>
      </c>
      <c r="AC67" s="9"/>
      <c r="AD67" s="9"/>
      <c r="AE67" s="9"/>
      <c r="AF67" s="9"/>
      <c r="AG67" s="9"/>
      <c r="AH67" s="9">
        <f t="shared" si="9"/>
        <v>0</v>
      </c>
      <c r="AI67" s="9">
        <f t="shared" si="9"/>
        <v>0</v>
      </c>
      <c r="AJ67" s="9">
        <f t="shared" si="14"/>
        <v>0</v>
      </c>
      <c r="AK67" s="9">
        <f t="shared" si="14"/>
        <v>0</v>
      </c>
      <c r="AL67" s="9">
        <f t="shared" si="14"/>
        <v>0</v>
      </c>
      <c r="AM67" s="9">
        <f t="shared" si="14"/>
        <v>0</v>
      </c>
      <c r="AN67" s="9">
        <f t="shared" si="14"/>
        <v>0</v>
      </c>
      <c r="AO67" s="9">
        <f t="shared" si="12"/>
        <v>0</v>
      </c>
      <c r="AP67" s="9">
        <f t="shared" si="12"/>
        <v>0</v>
      </c>
      <c r="AQ67" s="9">
        <f t="shared" si="12"/>
        <v>0</v>
      </c>
      <c r="AR67" s="9">
        <f t="shared" si="12"/>
        <v>0</v>
      </c>
      <c r="AS67" s="9">
        <f t="shared" si="12"/>
        <v>0</v>
      </c>
      <c r="AT67" s="9">
        <f t="shared" si="12"/>
        <v>0</v>
      </c>
    </row>
    <row r="68" spans="1:46" x14ac:dyDescent="0.25">
      <c r="A68" s="2" t="s">
        <v>84</v>
      </c>
      <c r="B68" s="2" t="s">
        <v>85</v>
      </c>
      <c r="C68" s="1">
        <v>30000</v>
      </c>
      <c r="J68" s="5">
        <v>0.4</v>
      </c>
      <c r="K68" s="5"/>
      <c r="L68" s="5"/>
      <c r="M68" s="5"/>
      <c r="N68" s="5"/>
      <c r="O68" s="5">
        <v>0.1</v>
      </c>
      <c r="P68" s="5"/>
      <c r="Q68" s="5">
        <v>0.35</v>
      </c>
      <c r="R68" s="5">
        <v>0.1</v>
      </c>
      <c r="S68" s="5"/>
      <c r="T68" s="5">
        <v>0.05</v>
      </c>
      <c r="U68" s="5"/>
      <c r="V68" s="5"/>
      <c r="W68" s="5"/>
      <c r="X68" s="5"/>
      <c r="Z68" s="6">
        <f t="shared" si="4"/>
        <v>1</v>
      </c>
      <c r="AB68" s="9">
        <f t="shared" si="5"/>
        <v>12000</v>
      </c>
      <c r="AC68" s="9"/>
      <c r="AD68" s="9"/>
      <c r="AE68" s="9"/>
      <c r="AF68" s="9"/>
      <c r="AG68" s="9"/>
      <c r="AH68" s="9">
        <f t="shared" si="9"/>
        <v>0</v>
      </c>
      <c r="AI68" s="9">
        <f t="shared" si="9"/>
        <v>0</v>
      </c>
      <c r="AJ68" s="9">
        <f t="shared" si="14"/>
        <v>0</v>
      </c>
      <c r="AK68" s="9">
        <f t="shared" si="14"/>
        <v>3000</v>
      </c>
      <c r="AL68" s="9">
        <f t="shared" si="14"/>
        <v>0</v>
      </c>
      <c r="AM68" s="9">
        <f t="shared" si="14"/>
        <v>10500</v>
      </c>
      <c r="AN68" s="9">
        <f t="shared" si="14"/>
        <v>3000</v>
      </c>
      <c r="AO68" s="9">
        <f t="shared" si="12"/>
        <v>0</v>
      </c>
      <c r="AP68" s="9">
        <f t="shared" si="12"/>
        <v>1500</v>
      </c>
      <c r="AQ68" s="9">
        <f t="shared" si="12"/>
        <v>0</v>
      </c>
      <c r="AR68" s="9">
        <f t="shared" si="12"/>
        <v>0</v>
      </c>
      <c r="AS68" s="9">
        <f t="shared" si="12"/>
        <v>0</v>
      </c>
      <c r="AT68" s="9">
        <f t="shared" si="12"/>
        <v>0</v>
      </c>
    </row>
    <row r="69" spans="1:46" x14ac:dyDescent="0.25">
      <c r="A69" s="2" t="s">
        <v>84</v>
      </c>
      <c r="B69" s="2" t="s">
        <v>86</v>
      </c>
      <c r="C69" s="1">
        <v>150000</v>
      </c>
      <c r="J69" s="5">
        <v>0.4</v>
      </c>
      <c r="K69" s="5"/>
      <c r="L69" s="5"/>
      <c r="M69" s="5"/>
      <c r="N69" s="5"/>
      <c r="O69" s="5">
        <v>0.06</v>
      </c>
      <c r="P69" s="5"/>
      <c r="Q69" s="5">
        <v>0.2</v>
      </c>
      <c r="R69" s="5">
        <v>0.12</v>
      </c>
      <c r="S69" s="5">
        <v>0.04</v>
      </c>
      <c r="T69" s="5"/>
      <c r="U69" s="5"/>
      <c r="V69" s="5"/>
      <c r="W69" s="5">
        <v>0.1</v>
      </c>
      <c r="X69" s="5">
        <v>0.08</v>
      </c>
      <c r="Z69" s="6">
        <f t="shared" si="4"/>
        <v>1</v>
      </c>
      <c r="AB69" s="9">
        <f t="shared" si="5"/>
        <v>60000</v>
      </c>
      <c r="AC69" s="9"/>
      <c r="AD69" s="9"/>
      <c r="AE69" s="9"/>
      <c r="AF69" s="9"/>
      <c r="AG69" s="9"/>
      <c r="AH69" s="9">
        <f t="shared" si="9"/>
        <v>0</v>
      </c>
      <c r="AI69" s="9">
        <f t="shared" si="9"/>
        <v>0</v>
      </c>
      <c r="AJ69" s="9">
        <f t="shared" si="14"/>
        <v>0</v>
      </c>
      <c r="AK69" s="9">
        <f t="shared" si="14"/>
        <v>9000</v>
      </c>
      <c r="AL69" s="9">
        <f t="shared" si="14"/>
        <v>0</v>
      </c>
      <c r="AM69" s="9">
        <f t="shared" si="14"/>
        <v>30000</v>
      </c>
      <c r="AN69" s="9">
        <f t="shared" si="14"/>
        <v>18000</v>
      </c>
      <c r="AO69" s="9">
        <f t="shared" si="12"/>
        <v>6000</v>
      </c>
      <c r="AP69" s="9">
        <f t="shared" si="12"/>
        <v>0</v>
      </c>
      <c r="AQ69" s="9">
        <f t="shared" si="12"/>
        <v>0</v>
      </c>
      <c r="AR69" s="9">
        <f t="shared" si="12"/>
        <v>0</v>
      </c>
      <c r="AS69" s="9">
        <f t="shared" si="12"/>
        <v>15000</v>
      </c>
      <c r="AT69" s="9">
        <f t="shared" si="12"/>
        <v>12000</v>
      </c>
    </row>
    <row r="70" spans="1:46" x14ac:dyDescent="0.25">
      <c r="A70" s="2" t="s">
        <v>84</v>
      </c>
      <c r="B70" s="2" t="s">
        <v>117</v>
      </c>
      <c r="C70" s="1">
        <v>35000</v>
      </c>
      <c r="J70" s="5">
        <v>0.15</v>
      </c>
      <c r="K70" s="5"/>
      <c r="L70" s="5"/>
      <c r="M70" s="5"/>
      <c r="N70" s="5"/>
      <c r="O70" s="5"/>
      <c r="P70" s="5"/>
      <c r="Q70" s="5">
        <v>0.25</v>
      </c>
      <c r="R70" s="5">
        <v>0.03</v>
      </c>
      <c r="S70" s="5">
        <v>0.01</v>
      </c>
      <c r="T70" s="5"/>
      <c r="U70" s="5"/>
      <c r="V70" s="5"/>
      <c r="W70" s="5">
        <v>0.56000000000000005</v>
      </c>
      <c r="X70" s="5"/>
      <c r="Z70" s="6">
        <f t="shared" ref="Z70:Z71" si="15">SUM(J70:X70)</f>
        <v>1</v>
      </c>
      <c r="AB70" s="9">
        <f t="shared" si="5"/>
        <v>5250</v>
      </c>
      <c r="AC70" s="9"/>
      <c r="AD70" s="9"/>
      <c r="AE70" s="9"/>
      <c r="AF70" s="9"/>
      <c r="AG70" s="9"/>
      <c r="AH70" s="9">
        <f t="shared" si="9"/>
        <v>0</v>
      </c>
      <c r="AI70" s="9">
        <f t="shared" si="9"/>
        <v>0</v>
      </c>
      <c r="AJ70" s="9">
        <f t="shared" si="14"/>
        <v>0</v>
      </c>
      <c r="AK70" s="9">
        <f t="shared" si="14"/>
        <v>0</v>
      </c>
      <c r="AL70" s="9">
        <f t="shared" si="14"/>
        <v>0</v>
      </c>
      <c r="AM70" s="9">
        <f t="shared" si="14"/>
        <v>8750</v>
      </c>
      <c r="AN70" s="9">
        <f t="shared" si="14"/>
        <v>1050</v>
      </c>
      <c r="AO70" s="9">
        <f t="shared" si="12"/>
        <v>350</v>
      </c>
      <c r="AP70" s="9">
        <f t="shared" si="12"/>
        <v>0</v>
      </c>
      <c r="AQ70" s="9">
        <f t="shared" si="12"/>
        <v>0</v>
      </c>
      <c r="AR70" s="9">
        <f t="shared" si="12"/>
        <v>0</v>
      </c>
      <c r="AS70" s="9">
        <f t="shared" si="12"/>
        <v>19600.000000000004</v>
      </c>
      <c r="AT70" s="9">
        <f t="shared" si="12"/>
        <v>0</v>
      </c>
    </row>
    <row r="71" spans="1:46" x14ac:dyDescent="0.25">
      <c r="A71" s="2" t="s">
        <v>84</v>
      </c>
      <c r="B71" s="2" t="s">
        <v>118</v>
      </c>
      <c r="C71" s="1">
        <v>30000</v>
      </c>
      <c r="J71" s="5">
        <v>0.25</v>
      </c>
      <c r="K71" s="5"/>
      <c r="L71" s="5"/>
      <c r="M71" s="5"/>
      <c r="N71" s="5"/>
      <c r="O71" s="5">
        <v>0.05</v>
      </c>
      <c r="P71" s="5"/>
      <c r="Q71" s="5">
        <v>0.4</v>
      </c>
      <c r="R71" s="5">
        <v>0.1</v>
      </c>
      <c r="S71" s="5">
        <v>0.05</v>
      </c>
      <c r="T71" s="5"/>
      <c r="U71" s="5"/>
      <c r="V71" s="5"/>
      <c r="W71" s="5">
        <v>0.15</v>
      </c>
      <c r="X71" s="5"/>
      <c r="Z71" s="6">
        <f t="shared" si="15"/>
        <v>1</v>
      </c>
      <c r="AB71" s="9">
        <f t="shared" si="5"/>
        <v>7500</v>
      </c>
      <c r="AC71" s="9"/>
      <c r="AD71" s="9"/>
      <c r="AE71" s="9"/>
      <c r="AF71" s="9"/>
      <c r="AG71" s="9"/>
      <c r="AH71" s="9">
        <f t="shared" si="9"/>
        <v>0</v>
      </c>
      <c r="AI71" s="9">
        <f t="shared" si="9"/>
        <v>0</v>
      </c>
      <c r="AJ71" s="9">
        <f t="shared" si="14"/>
        <v>0</v>
      </c>
      <c r="AK71" s="9">
        <f t="shared" si="14"/>
        <v>1500</v>
      </c>
      <c r="AL71" s="9">
        <f t="shared" si="14"/>
        <v>0</v>
      </c>
      <c r="AM71" s="9">
        <f t="shared" si="14"/>
        <v>12000</v>
      </c>
      <c r="AN71" s="9">
        <f t="shared" si="14"/>
        <v>3000</v>
      </c>
      <c r="AO71" s="9">
        <f t="shared" si="12"/>
        <v>1500</v>
      </c>
      <c r="AP71" s="9">
        <f t="shared" si="12"/>
        <v>0</v>
      </c>
      <c r="AQ71" s="9">
        <f t="shared" si="12"/>
        <v>0</v>
      </c>
      <c r="AR71" s="9">
        <f t="shared" si="12"/>
        <v>0</v>
      </c>
      <c r="AS71" s="9">
        <f t="shared" si="12"/>
        <v>4500</v>
      </c>
      <c r="AT71" s="9">
        <f t="shared" si="12"/>
        <v>0</v>
      </c>
    </row>
    <row r="72" spans="1:46" x14ac:dyDescent="0.25">
      <c r="A72" s="2" t="s">
        <v>84</v>
      </c>
      <c r="B72" s="2" t="s">
        <v>87</v>
      </c>
      <c r="C72" s="1">
        <v>100000</v>
      </c>
      <c r="J72" s="5">
        <v>0.2</v>
      </c>
      <c r="K72" s="5"/>
      <c r="L72" s="5"/>
      <c r="M72" s="5"/>
      <c r="N72" s="5"/>
      <c r="O72" s="5">
        <v>0.2</v>
      </c>
      <c r="P72" s="5"/>
      <c r="Q72" s="5">
        <v>0.4</v>
      </c>
      <c r="R72" s="5">
        <v>0.1</v>
      </c>
      <c r="S72" s="5">
        <v>0.1</v>
      </c>
      <c r="T72" s="5"/>
      <c r="U72" s="5"/>
      <c r="V72" s="5"/>
      <c r="W72" s="5"/>
      <c r="X72" s="5"/>
      <c r="Z72" s="6">
        <f t="shared" si="4"/>
        <v>1</v>
      </c>
      <c r="AB72" s="9">
        <f t="shared" si="5"/>
        <v>20000</v>
      </c>
      <c r="AC72" s="9"/>
      <c r="AD72" s="9"/>
      <c r="AE72" s="9"/>
      <c r="AF72" s="9"/>
      <c r="AG72" s="9"/>
      <c r="AH72" s="9">
        <f t="shared" si="9"/>
        <v>0</v>
      </c>
      <c r="AI72" s="9">
        <f t="shared" si="9"/>
        <v>0</v>
      </c>
      <c r="AJ72" s="9">
        <f t="shared" si="14"/>
        <v>0</v>
      </c>
      <c r="AK72" s="9">
        <f t="shared" si="14"/>
        <v>20000</v>
      </c>
      <c r="AL72" s="9">
        <f t="shared" si="14"/>
        <v>0</v>
      </c>
      <c r="AM72" s="9">
        <f t="shared" si="14"/>
        <v>40000</v>
      </c>
      <c r="AN72" s="9">
        <f t="shared" si="14"/>
        <v>10000</v>
      </c>
      <c r="AO72" s="9">
        <f t="shared" si="12"/>
        <v>10000</v>
      </c>
      <c r="AP72" s="9">
        <f t="shared" si="12"/>
        <v>0</v>
      </c>
      <c r="AQ72" s="9">
        <f t="shared" si="12"/>
        <v>0</v>
      </c>
      <c r="AR72" s="9">
        <f t="shared" si="12"/>
        <v>0</v>
      </c>
      <c r="AS72" s="9">
        <f t="shared" si="12"/>
        <v>0</v>
      </c>
      <c r="AT72" s="9">
        <f t="shared" si="12"/>
        <v>0</v>
      </c>
    </row>
    <row r="73" spans="1:46" x14ac:dyDescent="0.25">
      <c r="A73" s="2" t="s">
        <v>84</v>
      </c>
      <c r="B73" s="2" t="s">
        <v>88</v>
      </c>
      <c r="C73" s="1">
        <v>5000</v>
      </c>
      <c r="J73" s="5">
        <v>0.15</v>
      </c>
      <c r="K73" s="5"/>
      <c r="L73" s="5">
        <v>0.25</v>
      </c>
      <c r="M73" s="5"/>
      <c r="N73" s="5"/>
      <c r="O73" s="5"/>
      <c r="P73" s="5"/>
      <c r="Q73" s="5"/>
      <c r="R73" s="5">
        <v>0.35</v>
      </c>
      <c r="S73" s="5">
        <v>0.25</v>
      </c>
      <c r="T73" s="5"/>
      <c r="U73" s="5"/>
      <c r="V73" s="5"/>
      <c r="W73" s="5"/>
      <c r="X73" s="5"/>
      <c r="Z73" s="6">
        <f t="shared" si="4"/>
        <v>1</v>
      </c>
      <c r="AB73" s="9">
        <f t="shared" si="5"/>
        <v>750</v>
      </c>
      <c r="AC73" s="9"/>
      <c r="AD73" s="9"/>
      <c r="AE73" s="9"/>
      <c r="AF73" s="9"/>
      <c r="AG73" s="9"/>
      <c r="AH73" s="9">
        <f t="shared" si="9"/>
        <v>0</v>
      </c>
      <c r="AI73" s="9">
        <f t="shared" si="9"/>
        <v>1250</v>
      </c>
      <c r="AJ73" s="9">
        <f t="shared" si="14"/>
        <v>0</v>
      </c>
      <c r="AK73" s="9">
        <f t="shared" si="14"/>
        <v>0</v>
      </c>
      <c r="AL73" s="9">
        <f t="shared" si="14"/>
        <v>0</v>
      </c>
      <c r="AM73" s="9">
        <f t="shared" si="14"/>
        <v>0</v>
      </c>
      <c r="AN73" s="9">
        <f t="shared" si="14"/>
        <v>1750</v>
      </c>
      <c r="AO73" s="9">
        <f t="shared" si="12"/>
        <v>1250</v>
      </c>
      <c r="AP73" s="9">
        <f t="shared" si="12"/>
        <v>0</v>
      </c>
      <c r="AQ73" s="9">
        <f t="shared" si="12"/>
        <v>0</v>
      </c>
      <c r="AR73" s="9">
        <f t="shared" si="12"/>
        <v>0</v>
      </c>
      <c r="AS73" s="9">
        <f t="shared" si="12"/>
        <v>0</v>
      </c>
      <c r="AT73" s="9">
        <f t="shared" si="12"/>
        <v>0</v>
      </c>
    </row>
    <row r="74" spans="1:46" x14ac:dyDescent="0.25">
      <c r="A74" s="2" t="s">
        <v>84</v>
      </c>
      <c r="B74" s="2" t="s">
        <v>89</v>
      </c>
      <c r="C74" s="1">
        <v>10000</v>
      </c>
      <c r="J74" s="5">
        <v>0.15</v>
      </c>
      <c r="K74" s="5"/>
      <c r="L74" s="5">
        <v>0.25</v>
      </c>
      <c r="M74" s="5"/>
      <c r="N74" s="5"/>
      <c r="O74" s="5"/>
      <c r="P74" s="5"/>
      <c r="Q74" s="5"/>
      <c r="R74" s="5">
        <v>0.35</v>
      </c>
      <c r="S74" s="5">
        <v>0.25</v>
      </c>
      <c r="T74" s="5"/>
      <c r="U74" s="5"/>
      <c r="V74" s="5"/>
      <c r="W74" s="5"/>
      <c r="X74" s="5"/>
      <c r="Z74" s="6">
        <f t="shared" si="4"/>
        <v>1</v>
      </c>
      <c r="AB74" s="9">
        <f t="shared" si="5"/>
        <v>1500</v>
      </c>
      <c r="AC74" s="9"/>
      <c r="AD74" s="9"/>
      <c r="AE74" s="9"/>
      <c r="AF74" s="9"/>
      <c r="AG74" s="9"/>
      <c r="AH74" s="9">
        <f t="shared" si="9"/>
        <v>0</v>
      </c>
      <c r="AI74" s="9">
        <f t="shared" si="9"/>
        <v>2500</v>
      </c>
      <c r="AJ74" s="9">
        <f t="shared" si="14"/>
        <v>0</v>
      </c>
      <c r="AK74" s="9">
        <f t="shared" si="14"/>
        <v>0</v>
      </c>
      <c r="AL74" s="9">
        <f t="shared" si="14"/>
        <v>0</v>
      </c>
      <c r="AM74" s="9">
        <f t="shared" si="14"/>
        <v>0</v>
      </c>
      <c r="AN74" s="9">
        <f t="shared" si="14"/>
        <v>3500</v>
      </c>
      <c r="AO74" s="9">
        <f t="shared" si="12"/>
        <v>2500</v>
      </c>
      <c r="AP74" s="9">
        <f t="shared" si="12"/>
        <v>0</v>
      </c>
      <c r="AQ74" s="9">
        <f t="shared" si="12"/>
        <v>0</v>
      </c>
      <c r="AR74" s="9">
        <f t="shared" si="12"/>
        <v>0</v>
      </c>
      <c r="AS74" s="9">
        <f t="shared" si="12"/>
        <v>0</v>
      </c>
      <c r="AT74" s="9">
        <f t="shared" si="12"/>
        <v>0</v>
      </c>
    </row>
    <row r="75" spans="1:46" x14ac:dyDescent="0.25">
      <c r="A75" s="2" t="s">
        <v>84</v>
      </c>
      <c r="B75" s="2" t="s">
        <v>90</v>
      </c>
      <c r="C75" s="1">
        <v>30000</v>
      </c>
      <c r="J75" s="5">
        <v>0.15</v>
      </c>
      <c r="K75" s="5"/>
      <c r="L75" s="5">
        <v>0.1</v>
      </c>
      <c r="M75" s="5"/>
      <c r="N75" s="5"/>
      <c r="O75" s="5"/>
      <c r="P75" s="5"/>
      <c r="Q75" s="5"/>
      <c r="R75" s="5">
        <v>0.65</v>
      </c>
      <c r="S75" s="5">
        <v>0.1</v>
      </c>
      <c r="T75" s="5"/>
      <c r="U75" s="5"/>
      <c r="V75" s="5"/>
      <c r="W75" s="5"/>
      <c r="X75" s="5"/>
      <c r="Z75" s="6">
        <f t="shared" si="4"/>
        <v>1</v>
      </c>
      <c r="AB75" s="9">
        <f t="shared" si="5"/>
        <v>4500</v>
      </c>
      <c r="AC75" s="9"/>
      <c r="AD75" s="9"/>
      <c r="AE75" s="9"/>
      <c r="AF75" s="9"/>
      <c r="AG75" s="9"/>
      <c r="AH75" s="9">
        <f t="shared" si="9"/>
        <v>0</v>
      </c>
      <c r="AI75" s="9">
        <f t="shared" si="9"/>
        <v>3000</v>
      </c>
      <c r="AJ75" s="9">
        <f t="shared" si="14"/>
        <v>0</v>
      </c>
      <c r="AK75" s="9">
        <f t="shared" si="14"/>
        <v>0</v>
      </c>
      <c r="AL75" s="9">
        <f t="shared" si="14"/>
        <v>0</v>
      </c>
      <c r="AM75" s="9">
        <f t="shared" si="14"/>
        <v>0</v>
      </c>
      <c r="AN75" s="9">
        <f t="shared" si="14"/>
        <v>19500</v>
      </c>
      <c r="AO75" s="9">
        <f t="shared" si="12"/>
        <v>3000</v>
      </c>
      <c r="AP75" s="9">
        <f t="shared" si="12"/>
        <v>0</v>
      </c>
      <c r="AQ75" s="9">
        <f t="shared" si="12"/>
        <v>0</v>
      </c>
      <c r="AR75" s="9">
        <f t="shared" si="12"/>
        <v>0</v>
      </c>
      <c r="AS75" s="9">
        <f t="shared" si="12"/>
        <v>0</v>
      </c>
      <c r="AT75" s="9">
        <f t="shared" si="12"/>
        <v>0</v>
      </c>
    </row>
    <row r="76" spans="1:46" x14ac:dyDescent="0.25">
      <c r="A76" s="2" t="s">
        <v>84</v>
      </c>
      <c r="B76" s="2" t="s">
        <v>91</v>
      </c>
      <c r="C76" s="1">
        <v>10000</v>
      </c>
      <c r="J76" s="5">
        <v>0.2</v>
      </c>
      <c r="K76" s="5"/>
      <c r="L76" s="5"/>
      <c r="M76" s="5"/>
      <c r="N76" s="5"/>
      <c r="O76" s="5"/>
      <c r="P76" s="5"/>
      <c r="Q76" s="5"/>
      <c r="R76" s="5">
        <v>0.4</v>
      </c>
      <c r="S76" s="5">
        <v>0.4</v>
      </c>
      <c r="T76" s="5"/>
      <c r="U76" s="5"/>
      <c r="V76" s="5"/>
      <c r="W76" s="5"/>
      <c r="X76" s="5"/>
      <c r="Z76" s="6">
        <f t="shared" ref="Z76:Z100" si="16">SUM(J76:X76)</f>
        <v>1</v>
      </c>
      <c r="AB76" s="9">
        <f t="shared" ref="AB76:AB100" si="17">$C76*J76</f>
        <v>2000</v>
      </c>
      <c r="AC76" s="9"/>
      <c r="AD76" s="9"/>
      <c r="AE76" s="9"/>
      <c r="AF76" s="9"/>
      <c r="AG76" s="9"/>
      <c r="AH76" s="9">
        <f t="shared" ref="AH76:AI94" si="18">$C76*K76</f>
        <v>0</v>
      </c>
      <c r="AI76" s="9">
        <f t="shared" si="18"/>
        <v>0</v>
      </c>
      <c r="AJ76" s="9">
        <f t="shared" si="14"/>
        <v>0</v>
      </c>
      <c r="AK76" s="9">
        <f t="shared" si="14"/>
        <v>0</v>
      </c>
      <c r="AL76" s="9">
        <f t="shared" si="14"/>
        <v>0</v>
      </c>
      <c r="AM76" s="9">
        <f t="shared" si="14"/>
        <v>0</v>
      </c>
      <c r="AN76" s="9">
        <f t="shared" si="14"/>
        <v>4000</v>
      </c>
      <c r="AO76" s="9">
        <f t="shared" si="12"/>
        <v>4000</v>
      </c>
      <c r="AP76" s="9">
        <f t="shared" si="12"/>
        <v>0</v>
      </c>
      <c r="AQ76" s="9">
        <f t="shared" si="12"/>
        <v>0</v>
      </c>
      <c r="AR76" s="9">
        <f t="shared" si="12"/>
        <v>0</v>
      </c>
      <c r="AS76" s="9">
        <f t="shared" si="12"/>
        <v>0</v>
      </c>
      <c r="AT76" s="9">
        <f t="shared" si="12"/>
        <v>0</v>
      </c>
    </row>
    <row r="77" spans="1:46" x14ac:dyDescent="0.25">
      <c r="A77" s="2" t="s">
        <v>84</v>
      </c>
      <c r="B77" s="2" t="s">
        <v>92</v>
      </c>
      <c r="C77" s="1">
        <v>10000</v>
      </c>
      <c r="J77" s="5">
        <v>0.2</v>
      </c>
      <c r="K77" s="5"/>
      <c r="L77" s="5"/>
      <c r="M77" s="5"/>
      <c r="N77" s="5"/>
      <c r="O77" s="5"/>
      <c r="P77" s="5"/>
      <c r="Q77" s="5"/>
      <c r="R77" s="5">
        <v>0.4</v>
      </c>
      <c r="S77" s="5">
        <v>0.4</v>
      </c>
      <c r="T77" s="5"/>
      <c r="U77" s="5"/>
      <c r="V77" s="5"/>
      <c r="W77" s="5"/>
      <c r="X77" s="5"/>
      <c r="Z77" s="6">
        <f t="shared" si="16"/>
        <v>1</v>
      </c>
      <c r="AB77" s="9">
        <f t="shared" si="17"/>
        <v>2000</v>
      </c>
      <c r="AC77" s="9"/>
      <c r="AD77" s="9"/>
      <c r="AE77" s="9"/>
      <c r="AF77" s="9"/>
      <c r="AG77" s="9"/>
      <c r="AH77" s="9">
        <f t="shared" si="18"/>
        <v>0</v>
      </c>
      <c r="AI77" s="9">
        <f t="shared" si="18"/>
        <v>0</v>
      </c>
      <c r="AJ77" s="9">
        <f t="shared" si="14"/>
        <v>0</v>
      </c>
      <c r="AK77" s="9">
        <f t="shared" si="14"/>
        <v>0</v>
      </c>
      <c r="AL77" s="9">
        <f t="shared" si="14"/>
        <v>0</v>
      </c>
      <c r="AM77" s="9">
        <f t="shared" si="14"/>
        <v>0</v>
      </c>
      <c r="AN77" s="9">
        <f t="shared" si="14"/>
        <v>4000</v>
      </c>
      <c r="AO77" s="9">
        <f t="shared" si="12"/>
        <v>4000</v>
      </c>
      <c r="AP77" s="9">
        <f t="shared" si="12"/>
        <v>0</v>
      </c>
      <c r="AQ77" s="9">
        <f t="shared" si="12"/>
        <v>0</v>
      </c>
      <c r="AR77" s="9">
        <f t="shared" si="12"/>
        <v>0</v>
      </c>
      <c r="AS77" s="9">
        <f t="shared" si="12"/>
        <v>0</v>
      </c>
      <c r="AT77" s="9">
        <f t="shared" si="12"/>
        <v>0</v>
      </c>
    </row>
    <row r="78" spans="1:46" x14ac:dyDescent="0.25">
      <c r="A78" s="2" t="s">
        <v>84</v>
      </c>
      <c r="B78" s="2" t="s">
        <v>93</v>
      </c>
      <c r="C78" s="1">
        <v>10000</v>
      </c>
      <c r="J78" s="5">
        <v>0.2</v>
      </c>
      <c r="K78" s="5"/>
      <c r="L78" s="5">
        <v>0.35</v>
      </c>
      <c r="M78" s="5"/>
      <c r="N78" s="5"/>
      <c r="O78" s="5"/>
      <c r="P78" s="5"/>
      <c r="Q78" s="5"/>
      <c r="R78" s="5">
        <v>0.35</v>
      </c>
      <c r="S78" s="5">
        <v>0.1</v>
      </c>
      <c r="T78" s="5"/>
      <c r="U78" s="5"/>
      <c r="V78" s="5"/>
      <c r="W78" s="5"/>
      <c r="X78" s="5"/>
      <c r="Z78" s="6">
        <f t="shared" si="16"/>
        <v>1</v>
      </c>
      <c r="AB78" s="9">
        <f t="shared" si="17"/>
        <v>2000</v>
      </c>
      <c r="AC78" s="9"/>
      <c r="AD78" s="9"/>
      <c r="AE78" s="9"/>
      <c r="AF78" s="9"/>
      <c r="AG78" s="9"/>
      <c r="AH78" s="9">
        <f t="shared" si="18"/>
        <v>0</v>
      </c>
      <c r="AI78" s="9">
        <f t="shared" si="18"/>
        <v>3500</v>
      </c>
      <c r="AJ78" s="9">
        <f t="shared" si="14"/>
        <v>0</v>
      </c>
      <c r="AK78" s="9">
        <f t="shared" si="14"/>
        <v>0</v>
      </c>
      <c r="AL78" s="9">
        <f t="shared" si="14"/>
        <v>0</v>
      </c>
      <c r="AM78" s="9">
        <f t="shared" si="14"/>
        <v>0</v>
      </c>
      <c r="AN78" s="9">
        <f t="shared" si="14"/>
        <v>3500</v>
      </c>
      <c r="AO78" s="9">
        <f t="shared" si="12"/>
        <v>1000</v>
      </c>
      <c r="AP78" s="9">
        <f t="shared" si="12"/>
        <v>0</v>
      </c>
      <c r="AQ78" s="9">
        <f t="shared" si="12"/>
        <v>0</v>
      </c>
      <c r="AR78" s="9">
        <f t="shared" si="12"/>
        <v>0</v>
      </c>
      <c r="AS78" s="9">
        <f t="shared" si="12"/>
        <v>0</v>
      </c>
      <c r="AT78" s="9">
        <f t="shared" si="12"/>
        <v>0</v>
      </c>
    </row>
    <row r="79" spans="1:46" x14ac:dyDescent="0.25">
      <c r="A79" s="2" t="s">
        <v>84</v>
      </c>
      <c r="B79" s="2" t="s">
        <v>94</v>
      </c>
      <c r="C79" s="1">
        <v>10000</v>
      </c>
      <c r="J79" s="5">
        <v>0.2</v>
      </c>
      <c r="K79" s="5"/>
      <c r="L79" s="5">
        <v>0.35</v>
      </c>
      <c r="M79" s="5"/>
      <c r="N79" s="5"/>
      <c r="O79" s="5"/>
      <c r="P79" s="5"/>
      <c r="Q79" s="5"/>
      <c r="R79" s="5">
        <v>0.35</v>
      </c>
      <c r="S79" s="5">
        <v>0.1</v>
      </c>
      <c r="T79" s="5"/>
      <c r="U79" s="5"/>
      <c r="V79" s="5"/>
      <c r="W79" s="5"/>
      <c r="X79" s="5"/>
      <c r="Z79" s="6">
        <f t="shared" si="16"/>
        <v>1</v>
      </c>
      <c r="AB79" s="9">
        <f t="shared" si="17"/>
        <v>2000</v>
      </c>
      <c r="AC79" s="9"/>
      <c r="AD79" s="9"/>
      <c r="AE79" s="9"/>
      <c r="AF79" s="9"/>
      <c r="AG79" s="9"/>
      <c r="AH79" s="9">
        <f t="shared" si="18"/>
        <v>0</v>
      </c>
      <c r="AI79" s="9">
        <f t="shared" si="18"/>
        <v>3500</v>
      </c>
      <c r="AJ79" s="9">
        <f t="shared" si="14"/>
        <v>0</v>
      </c>
      <c r="AK79" s="9">
        <f t="shared" si="14"/>
        <v>0</v>
      </c>
      <c r="AL79" s="9">
        <f t="shared" si="14"/>
        <v>0</v>
      </c>
      <c r="AM79" s="9">
        <f t="shared" si="14"/>
        <v>0</v>
      </c>
      <c r="AN79" s="9">
        <f t="shared" si="14"/>
        <v>3500</v>
      </c>
      <c r="AO79" s="9">
        <f t="shared" si="12"/>
        <v>1000</v>
      </c>
      <c r="AP79" s="9">
        <f t="shared" si="12"/>
        <v>0</v>
      </c>
      <c r="AQ79" s="9">
        <f t="shared" si="12"/>
        <v>0</v>
      </c>
      <c r="AR79" s="9">
        <f t="shared" si="12"/>
        <v>0</v>
      </c>
      <c r="AS79" s="9">
        <f t="shared" si="12"/>
        <v>0</v>
      </c>
      <c r="AT79" s="9">
        <f t="shared" si="12"/>
        <v>0</v>
      </c>
    </row>
    <row r="80" spans="1:46" x14ac:dyDescent="0.25">
      <c r="A80" s="2" t="s">
        <v>84</v>
      </c>
      <c r="B80" s="2" t="s">
        <v>95</v>
      </c>
      <c r="C80" s="1">
        <v>20000</v>
      </c>
      <c r="J80" s="5">
        <v>0.2</v>
      </c>
      <c r="K80" s="5"/>
      <c r="L80" s="5">
        <v>0.4</v>
      </c>
      <c r="M80" s="5"/>
      <c r="N80" s="5"/>
      <c r="O80" s="5"/>
      <c r="P80" s="5"/>
      <c r="Q80" s="5"/>
      <c r="R80" s="5">
        <v>0.4</v>
      </c>
      <c r="S80" s="5"/>
      <c r="T80" s="5"/>
      <c r="U80" s="5"/>
      <c r="V80" s="5"/>
      <c r="W80" s="5"/>
      <c r="X80" s="5"/>
      <c r="Z80" s="6">
        <f t="shared" si="16"/>
        <v>1</v>
      </c>
      <c r="AB80" s="9">
        <f t="shared" si="17"/>
        <v>4000</v>
      </c>
      <c r="AC80" s="9"/>
      <c r="AD80" s="9"/>
      <c r="AE80" s="9"/>
      <c r="AF80" s="9"/>
      <c r="AG80" s="9"/>
      <c r="AH80" s="9">
        <f t="shared" si="18"/>
        <v>0</v>
      </c>
      <c r="AI80" s="9">
        <f t="shared" si="18"/>
        <v>8000</v>
      </c>
      <c r="AJ80" s="9">
        <f t="shared" si="14"/>
        <v>0</v>
      </c>
      <c r="AK80" s="9">
        <f t="shared" si="14"/>
        <v>0</v>
      </c>
      <c r="AL80" s="9">
        <f t="shared" si="14"/>
        <v>0</v>
      </c>
      <c r="AM80" s="9">
        <f t="shared" si="14"/>
        <v>0</v>
      </c>
      <c r="AN80" s="9">
        <f t="shared" si="14"/>
        <v>8000</v>
      </c>
      <c r="AO80" s="9">
        <f t="shared" si="12"/>
        <v>0</v>
      </c>
      <c r="AP80" s="9">
        <f t="shared" si="12"/>
        <v>0</v>
      </c>
      <c r="AQ80" s="9">
        <f t="shared" si="12"/>
        <v>0</v>
      </c>
      <c r="AR80" s="9">
        <f t="shared" si="12"/>
        <v>0</v>
      </c>
      <c r="AS80" s="9">
        <f t="shared" si="12"/>
        <v>0</v>
      </c>
      <c r="AT80" s="9">
        <f t="shared" si="12"/>
        <v>0</v>
      </c>
    </row>
    <row r="81" spans="1:46" x14ac:dyDescent="0.25">
      <c r="A81" s="2" t="s">
        <v>84</v>
      </c>
      <c r="B81" s="2" t="s">
        <v>96</v>
      </c>
      <c r="C81" s="1">
        <v>30000</v>
      </c>
      <c r="J81" s="5">
        <v>0.15</v>
      </c>
      <c r="K81" s="5"/>
      <c r="L81" s="5">
        <v>0.15</v>
      </c>
      <c r="M81" s="5"/>
      <c r="N81" s="5"/>
      <c r="O81" s="5"/>
      <c r="P81" s="5"/>
      <c r="Q81" s="5"/>
      <c r="R81" s="5">
        <v>0.7</v>
      </c>
      <c r="S81" s="5"/>
      <c r="T81" s="5"/>
      <c r="U81" s="5"/>
      <c r="V81" s="5"/>
      <c r="W81" s="5"/>
      <c r="X81" s="5"/>
      <c r="Z81" s="6">
        <f t="shared" si="16"/>
        <v>1</v>
      </c>
      <c r="AB81" s="9">
        <f t="shared" si="17"/>
        <v>4500</v>
      </c>
      <c r="AC81" s="9"/>
      <c r="AD81" s="9"/>
      <c r="AE81" s="9"/>
      <c r="AF81" s="9"/>
      <c r="AG81" s="9"/>
      <c r="AH81" s="9">
        <f t="shared" si="18"/>
        <v>0</v>
      </c>
      <c r="AI81" s="9">
        <f t="shared" si="18"/>
        <v>4500</v>
      </c>
      <c r="AJ81" s="9">
        <f t="shared" si="14"/>
        <v>0</v>
      </c>
      <c r="AK81" s="9">
        <f t="shared" si="14"/>
        <v>0</v>
      </c>
      <c r="AL81" s="9">
        <f t="shared" si="14"/>
        <v>0</v>
      </c>
      <c r="AM81" s="9">
        <f t="shared" si="14"/>
        <v>0</v>
      </c>
      <c r="AN81" s="9">
        <f t="shared" si="14"/>
        <v>21000</v>
      </c>
      <c r="AO81" s="9">
        <f t="shared" si="12"/>
        <v>0</v>
      </c>
      <c r="AP81" s="9">
        <f t="shared" si="12"/>
        <v>0</v>
      </c>
      <c r="AQ81" s="9">
        <f t="shared" si="12"/>
        <v>0</v>
      </c>
      <c r="AR81" s="9">
        <f t="shared" si="12"/>
        <v>0</v>
      </c>
      <c r="AS81" s="9">
        <f t="shared" si="12"/>
        <v>0</v>
      </c>
      <c r="AT81" s="9">
        <f t="shared" si="12"/>
        <v>0</v>
      </c>
    </row>
    <row r="82" spans="1:46" x14ac:dyDescent="0.25">
      <c r="A82" s="2" t="s">
        <v>84</v>
      </c>
      <c r="B82" s="2" t="s">
        <v>97</v>
      </c>
      <c r="C82" s="1">
        <v>10000</v>
      </c>
      <c r="J82" s="5">
        <v>0.2</v>
      </c>
      <c r="K82" s="5"/>
      <c r="L82" s="5">
        <v>0.4</v>
      </c>
      <c r="M82" s="5"/>
      <c r="N82" s="5"/>
      <c r="O82" s="5"/>
      <c r="P82" s="5"/>
      <c r="Q82" s="5"/>
      <c r="R82" s="5">
        <v>0.4</v>
      </c>
      <c r="S82" s="5"/>
      <c r="T82" s="5"/>
      <c r="U82" s="5"/>
      <c r="V82" s="5"/>
      <c r="W82" s="5"/>
      <c r="X82" s="5"/>
      <c r="Z82" s="6">
        <f t="shared" si="16"/>
        <v>1</v>
      </c>
      <c r="AB82" s="9">
        <f t="shared" si="17"/>
        <v>2000</v>
      </c>
      <c r="AC82" s="9"/>
      <c r="AD82" s="9"/>
      <c r="AE82" s="9"/>
      <c r="AF82" s="9"/>
      <c r="AG82" s="9"/>
      <c r="AH82" s="9">
        <f t="shared" si="18"/>
        <v>0</v>
      </c>
      <c r="AI82" s="9">
        <f t="shared" si="18"/>
        <v>4000</v>
      </c>
      <c r="AJ82" s="9">
        <f t="shared" si="14"/>
        <v>0</v>
      </c>
      <c r="AK82" s="9">
        <f t="shared" si="14"/>
        <v>0</v>
      </c>
      <c r="AL82" s="9">
        <f t="shared" si="14"/>
        <v>0</v>
      </c>
      <c r="AM82" s="9">
        <f t="shared" si="14"/>
        <v>0</v>
      </c>
      <c r="AN82" s="9">
        <f t="shared" si="14"/>
        <v>4000</v>
      </c>
      <c r="AO82" s="9">
        <f t="shared" si="12"/>
        <v>0</v>
      </c>
      <c r="AP82" s="9">
        <f t="shared" si="12"/>
        <v>0</v>
      </c>
      <c r="AQ82" s="9">
        <f t="shared" si="12"/>
        <v>0</v>
      </c>
      <c r="AR82" s="9">
        <f t="shared" si="12"/>
        <v>0</v>
      </c>
      <c r="AS82" s="9">
        <f t="shared" si="12"/>
        <v>0</v>
      </c>
      <c r="AT82" s="9">
        <f t="shared" si="12"/>
        <v>0</v>
      </c>
    </row>
    <row r="83" spans="1:46" x14ac:dyDescent="0.25">
      <c r="A83" s="2" t="s">
        <v>84</v>
      </c>
      <c r="B83" s="2" t="s">
        <v>98</v>
      </c>
      <c r="C83" s="1">
        <v>20000</v>
      </c>
      <c r="J83" s="5">
        <v>0.15</v>
      </c>
      <c r="K83" s="5"/>
      <c r="L83" s="5">
        <v>0.45</v>
      </c>
      <c r="M83" s="5"/>
      <c r="N83" s="5"/>
      <c r="O83" s="5"/>
      <c r="P83" s="5"/>
      <c r="Q83" s="5"/>
      <c r="R83" s="5">
        <v>0.35</v>
      </c>
      <c r="S83" s="5">
        <v>0.05</v>
      </c>
      <c r="T83" s="5"/>
      <c r="U83" s="5"/>
      <c r="V83" s="5"/>
      <c r="W83" s="5"/>
      <c r="X83" s="5"/>
      <c r="Z83" s="6">
        <f t="shared" si="16"/>
        <v>1</v>
      </c>
      <c r="AB83" s="9">
        <f t="shared" si="17"/>
        <v>3000</v>
      </c>
      <c r="AC83" s="9"/>
      <c r="AD83" s="9"/>
      <c r="AE83" s="9"/>
      <c r="AF83" s="9"/>
      <c r="AG83" s="9"/>
      <c r="AH83" s="9">
        <f t="shared" si="18"/>
        <v>0</v>
      </c>
      <c r="AI83" s="9">
        <f t="shared" si="18"/>
        <v>9000</v>
      </c>
      <c r="AJ83" s="9">
        <f t="shared" si="14"/>
        <v>0</v>
      </c>
      <c r="AK83" s="9">
        <f t="shared" si="14"/>
        <v>0</v>
      </c>
      <c r="AL83" s="9">
        <f t="shared" si="14"/>
        <v>0</v>
      </c>
      <c r="AM83" s="9">
        <f t="shared" si="14"/>
        <v>0</v>
      </c>
      <c r="AN83" s="9">
        <f t="shared" si="14"/>
        <v>7000</v>
      </c>
      <c r="AO83" s="9">
        <f t="shared" si="12"/>
        <v>1000</v>
      </c>
      <c r="AP83" s="9">
        <f t="shared" si="12"/>
        <v>0</v>
      </c>
      <c r="AQ83" s="9">
        <f t="shared" si="12"/>
        <v>0</v>
      </c>
      <c r="AR83" s="9">
        <f t="shared" si="12"/>
        <v>0</v>
      </c>
      <c r="AS83" s="9">
        <f t="shared" si="12"/>
        <v>0</v>
      </c>
      <c r="AT83" s="9">
        <f t="shared" si="12"/>
        <v>0</v>
      </c>
    </row>
    <row r="84" spans="1:46" x14ac:dyDescent="0.25">
      <c r="A84" s="2" t="s">
        <v>84</v>
      </c>
      <c r="B84" s="2" t="s">
        <v>99</v>
      </c>
      <c r="C84" s="1">
        <v>20000</v>
      </c>
      <c r="J84" s="5">
        <v>0.1</v>
      </c>
      <c r="K84" s="5">
        <v>0.85</v>
      </c>
      <c r="L84" s="5"/>
      <c r="M84" s="5"/>
      <c r="N84" s="5"/>
      <c r="O84" s="5"/>
      <c r="P84" s="5">
        <v>0.05</v>
      </c>
      <c r="Q84" s="5"/>
      <c r="R84" s="5"/>
      <c r="S84" s="5"/>
      <c r="T84" s="5"/>
      <c r="U84" s="5"/>
      <c r="V84" s="5"/>
      <c r="W84" s="5"/>
      <c r="X84" s="5"/>
      <c r="Z84" s="6">
        <f t="shared" si="16"/>
        <v>1</v>
      </c>
      <c r="AB84" s="9">
        <f t="shared" si="17"/>
        <v>2000</v>
      </c>
      <c r="AC84" s="9"/>
      <c r="AD84" s="9"/>
      <c r="AE84" s="9"/>
      <c r="AF84" s="9"/>
      <c r="AG84" s="9"/>
      <c r="AH84" s="9">
        <f t="shared" si="18"/>
        <v>17000</v>
      </c>
      <c r="AI84" s="9">
        <f t="shared" si="18"/>
        <v>0</v>
      </c>
      <c r="AJ84" s="9">
        <f t="shared" si="14"/>
        <v>0</v>
      </c>
      <c r="AK84" s="9">
        <f t="shared" si="14"/>
        <v>0</v>
      </c>
      <c r="AL84" s="9">
        <f t="shared" si="14"/>
        <v>1000</v>
      </c>
      <c r="AM84" s="9">
        <f t="shared" si="14"/>
        <v>0</v>
      </c>
      <c r="AN84" s="9">
        <f t="shared" si="14"/>
        <v>0</v>
      </c>
      <c r="AO84" s="9">
        <f t="shared" si="12"/>
        <v>0</v>
      </c>
      <c r="AP84" s="9">
        <f t="shared" si="12"/>
        <v>0</v>
      </c>
      <c r="AQ84" s="9">
        <f t="shared" si="12"/>
        <v>0</v>
      </c>
      <c r="AR84" s="9">
        <f t="shared" si="12"/>
        <v>0</v>
      </c>
      <c r="AS84" s="9">
        <f t="shared" si="12"/>
        <v>0</v>
      </c>
      <c r="AT84" s="9">
        <f t="shared" si="12"/>
        <v>0</v>
      </c>
    </row>
    <row r="85" spans="1:46" x14ac:dyDescent="0.25">
      <c r="A85" s="2" t="s">
        <v>84</v>
      </c>
      <c r="B85" s="2" t="s">
        <v>100</v>
      </c>
      <c r="C85" s="1">
        <v>5000</v>
      </c>
      <c r="J85" s="5">
        <v>0.1</v>
      </c>
      <c r="K85" s="5">
        <v>0.85</v>
      </c>
      <c r="L85" s="5"/>
      <c r="M85" s="5"/>
      <c r="N85" s="5"/>
      <c r="O85" s="5"/>
      <c r="P85" s="5">
        <v>0.05</v>
      </c>
      <c r="Q85" s="5"/>
      <c r="R85" s="5"/>
      <c r="S85" s="5"/>
      <c r="T85" s="5"/>
      <c r="U85" s="5"/>
      <c r="V85" s="5"/>
      <c r="W85" s="5"/>
      <c r="X85" s="5"/>
      <c r="Z85" s="6">
        <f t="shared" si="16"/>
        <v>1</v>
      </c>
      <c r="AB85" s="9">
        <f t="shared" si="17"/>
        <v>500</v>
      </c>
      <c r="AC85" s="9"/>
      <c r="AD85" s="9"/>
      <c r="AE85" s="9"/>
      <c r="AF85" s="9"/>
      <c r="AG85" s="9"/>
      <c r="AH85" s="9">
        <f t="shared" si="18"/>
        <v>4250</v>
      </c>
      <c r="AI85" s="9">
        <f t="shared" si="18"/>
        <v>0</v>
      </c>
      <c r="AJ85" s="9">
        <f t="shared" si="14"/>
        <v>0</v>
      </c>
      <c r="AK85" s="9">
        <f t="shared" si="14"/>
        <v>0</v>
      </c>
      <c r="AL85" s="9">
        <f t="shared" si="14"/>
        <v>250</v>
      </c>
      <c r="AM85" s="9">
        <f t="shared" si="14"/>
        <v>0</v>
      </c>
      <c r="AN85" s="9">
        <f t="shared" si="14"/>
        <v>0</v>
      </c>
      <c r="AO85" s="9">
        <f t="shared" si="12"/>
        <v>0</v>
      </c>
      <c r="AP85" s="9">
        <f t="shared" si="12"/>
        <v>0</v>
      </c>
      <c r="AQ85" s="9">
        <f t="shared" si="12"/>
        <v>0</v>
      </c>
      <c r="AR85" s="9">
        <f t="shared" si="12"/>
        <v>0</v>
      </c>
      <c r="AS85" s="9">
        <f t="shared" si="12"/>
        <v>0</v>
      </c>
      <c r="AT85" s="9">
        <f t="shared" si="12"/>
        <v>0</v>
      </c>
    </row>
    <row r="86" spans="1:46" x14ac:dyDescent="0.25">
      <c r="A86" s="2" t="s">
        <v>84</v>
      </c>
      <c r="B86" s="2" t="s">
        <v>101</v>
      </c>
      <c r="C86" s="1">
        <v>20000</v>
      </c>
      <c r="J86" s="5">
        <v>0.1</v>
      </c>
      <c r="K86" s="5">
        <v>0.85</v>
      </c>
      <c r="L86" s="5"/>
      <c r="M86" s="5"/>
      <c r="N86" s="5"/>
      <c r="O86" s="5"/>
      <c r="P86" s="5">
        <v>0.05</v>
      </c>
      <c r="Q86" s="5"/>
      <c r="R86" s="5"/>
      <c r="S86" s="5"/>
      <c r="T86" s="5"/>
      <c r="U86" s="5"/>
      <c r="V86" s="5"/>
      <c r="W86" s="5"/>
      <c r="X86" s="5"/>
      <c r="Z86" s="6">
        <f t="shared" si="16"/>
        <v>1</v>
      </c>
      <c r="AB86" s="9">
        <f t="shared" si="17"/>
        <v>2000</v>
      </c>
      <c r="AC86" s="9"/>
      <c r="AD86" s="9"/>
      <c r="AE86" s="9"/>
      <c r="AF86" s="9"/>
      <c r="AG86" s="9"/>
      <c r="AH86" s="9">
        <f t="shared" si="18"/>
        <v>17000</v>
      </c>
      <c r="AI86" s="9">
        <f t="shared" si="18"/>
        <v>0</v>
      </c>
      <c r="AJ86" s="9">
        <f t="shared" si="14"/>
        <v>0</v>
      </c>
      <c r="AK86" s="9">
        <f t="shared" si="14"/>
        <v>0</v>
      </c>
      <c r="AL86" s="9">
        <f t="shared" si="14"/>
        <v>1000</v>
      </c>
      <c r="AM86" s="9">
        <f t="shared" si="14"/>
        <v>0</v>
      </c>
      <c r="AN86" s="9">
        <f t="shared" si="14"/>
        <v>0</v>
      </c>
      <c r="AO86" s="9">
        <f t="shared" si="12"/>
        <v>0</v>
      </c>
      <c r="AP86" s="9">
        <f t="shared" si="12"/>
        <v>0</v>
      </c>
      <c r="AQ86" s="9">
        <f t="shared" si="12"/>
        <v>0</v>
      </c>
      <c r="AR86" s="9">
        <f t="shared" si="12"/>
        <v>0</v>
      </c>
      <c r="AS86" s="9">
        <f t="shared" si="12"/>
        <v>0</v>
      </c>
      <c r="AT86" s="9">
        <f t="shared" si="12"/>
        <v>0</v>
      </c>
    </row>
    <row r="87" spans="1:46" x14ac:dyDescent="0.25">
      <c r="A87" s="2" t="s">
        <v>84</v>
      </c>
      <c r="B87" s="2" t="s">
        <v>102</v>
      </c>
      <c r="C87" s="1">
        <v>27000</v>
      </c>
      <c r="J87" s="5">
        <v>0.1</v>
      </c>
      <c r="K87" s="5">
        <v>0.65</v>
      </c>
      <c r="L87" s="5"/>
      <c r="M87" s="5"/>
      <c r="N87" s="5"/>
      <c r="O87" s="5"/>
      <c r="P87" s="5">
        <v>0.05</v>
      </c>
      <c r="Q87" s="5"/>
      <c r="R87" s="5">
        <v>0.1</v>
      </c>
      <c r="S87" s="5">
        <v>0.1</v>
      </c>
      <c r="T87" s="5"/>
      <c r="U87" s="5"/>
      <c r="V87" s="5"/>
      <c r="W87" s="5"/>
      <c r="X87" s="5"/>
      <c r="Z87" s="6">
        <f t="shared" si="16"/>
        <v>1</v>
      </c>
      <c r="AB87" s="9">
        <f t="shared" si="17"/>
        <v>2700</v>
      </c>
      <c r="AC87" s="9"/>
      <c r="AD87" s="9"/>
      <c r="AE87" s="9"/>
      <c r="AF87" s="9"/>
      <c r="AG87" s="9"/>
      <c r="AH87" s="9">
        <f t="shared" si="18"/>
        <v>17550</v>
      </c>
      <c r="AI87" s="9">
        <f t="shared" si="18"/>
        <v>0</v>
      </c>
      <c r="AJ87" s="9">
        <f t="shared" si="14"/>
        <v>0</v>
      </c>
      <c r="AK87" s="9">
        <f t="shared" si="14"/>
        <v>0</v>
      </c>
      <c r="AL87" s="9">
        <f t="shared" si="14"/>
        <v>1350</v>
      </c>
      <c r="AM87" s="9">
        <f t="shared" si="14"/>
        <v>0</v>
      </c>
      <c r="AN87" s="9">
        <f t="shared" si="14"/>
        <v>2700</v>
      </c>
      <c r="AO87" s="9">
        <f t="shared" si="12"/>
        <v>2700</v>
      </c>
      <c r="AP87" s="9">
        <f t="shared" si="12"/>
        <v>0</v>
      </c>
      <c r="AQ87" s="9">
        <f t="shared" si="12"/>
        <v>0</v>
      </c>
      <c r="AR87" s="9">
        <f t="shared" si="12"/>
        <v>0</v>
      </c>
      <c r="AS87" s="9">
        <f t="shared" si="12"/>
        <v>0</v>
      </c>
      <c r="AT87" s="9">
        <f t="shared" si="12"/>
        <v>0</v>
      </c>
    </row>
    <row r="88" spans="1:46" x14ac:dyDescent="0.25">
      <c r="A88" s="2" t="s">
        <v>84</v>
      </c>
      <c r="B88" s="2" t="s">
        <v>103</v>
      </c>
      <c r="C88" s="1">
        <v>5000</v>
      </c>
      <c r="J88" s="5">
        <v>0.25</v>
      </c>
      <c r="K88" s="5">
        <v>0.75</v>
      </c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Z88" s="6">
        <f t="shared" si="16"/>
        <v>1</v>
      </c>
      <c r="AB88" s="9">
        <f t="shared" si="17"/>
        <v>1250</v>
      </c>
      <c r="AC88" s="9"/>
      <c r="AD88" s="9"/>
      <c r="AE88" s="9"/>
      <c r="AF88" s="9"/>
      <c r="AG88" s="9"/>
      <c r="AH88" s="9">
        <f t="shared" si="18"/>
        <v>3750</v>
      </c>
      <c r="AI88" s="9">
        <f t="shared" si="18"/>
        <v>0</v>
      </c>
      <c r="AJ88" s="9">
        <f t="shared" si="14"/>
        <v>0</v>
      </c>
      <c r="AK88" s="9">
        <f t="shared" si="14"/>
        <v>0</v>
      </c>
      <c r="AL88" s="9">
        <f t="shared" si="14"/>
        <v>0</v>
      </c>
      <c r="AM88" s="9">
        <f t="shared" si="14"/>
        <v>0</v>
      </c>
      <c r="AN88" s="9">
        <f t="shared" si="14"/>
        <v>0</v>
      </c>
      <c r="AO88" s="9">
        <f t="shared" si="12"/>
        <v>0</v>
      </c>
      <c r="AP88" s="9">
        <f t="shared" si="12"/>
        <v>0</v>
      </c>
      <c r="AQ88" s="9">
        <f t="shared" si="12"/>
        <v>0</v>
      </c>
      <c r="AR88" s="9">
        <f t="shared" si="12"/>
        <v>0</v>
      </c>
      <c r="AS88" s="9">
        <f t="shared" si="12"/>
        <v>0</v>
      </c>
      <c r="AT88" s="9">
        <f t="shared" si="12"/>
        <v>0</v>
      </c>
    </row>
    <row r="89" spans="1:46" x14ac:dyDescent="0.25">
      <c r="A89" s="2" t="s">
        <v>84</v>
      </c>
      <c r="B89" s="2" t="s">
        <v>104</v>
      </c>
      <c r="C89" s="1">
        <v>1000</v>
      </c>
      <c r="J89" s="5">
        <v>0.25</v>
      </c>
      <c r="K89" s="5">
        <v>0.75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Z89" s="6">
        <f t="shared" si="16"/>
        <v>1</v>
      </c>
      <c r="AB89" s="9">
        <f t="shared" si="17"/>
        <v>250</v>
      </c>
      <c r="AC89" s="9"/>
      <c r="AD89" s="9"/>
      <c r="AE89" s="9"/>
      <c r="AF89" s="9"/>
      <c r="AG89" s="9"/>
      <c r="AH89" s="9">
        <f t="shared" si="18"/>
        <v>750</v>
      </c>
      <c r="AI89" s="9">
        <f t="shared" si="18"/>
        <v>0</v>
      </c>
      <c r="AJ89" s="9">
        <f t="shared" si="14"/>
        <v>0</v>
      </c>
      <c r="AK89" s="9">
        <f t="shared" si="14"/>
        <v>0</v>
      </c>
      <c r="AL89" s="9">
        <f t="shared" si="14"/>
        <v>0</v>
      </c>
      <c r="AM89" s="9">
        <f t="shared" si="14"/>
        <v>0</v>
      </c>
      <c r="AN89" s="9">
        <f t="shared" si="14"/>
        <v>0</v>
      </c>
      <c r="AO89" s="9">
        <f t="shared" si="12"/>
        <v>0</v>
      </c>
      <c r="AP89" s="9">
        <f t="shared" si="12"/>
        <v>0</v>
      </c>
      <c r="AQ89" s="9">
        <f t="shared" si="12"/>
        <v>0</v>
      </c>
      <c r="AR89" s="9">
        <f t="shared" si="12"/>
        <v>0</v>
      </c>
      <c r="AS89" s="9">
        <f t="shared" si="12"/>
        <v>0</v>
      </c>
      <c r="AT89" s="9">
        <f t="shared" si="12"/>
        <v>0</v>
      </c>
    </row>
    <row r="90" spans="1:46" x14ac:dyDescent="0.25">
      <c r="A90" s="2" t="s">
        <v>84</v>
      </c>
      <c r="B90" s="2" t="s">
        <v>105</v>
      </c>
      <c r="C90" s="1">
        <v>2000</v>
      </c>
      <c r="J90" s="5">
        <v>0.25</v>
      </c>
      <c r="K90" s="5">
        <v>0.75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Z90" s="6">
        <f t="shared" si="16"/>
        <v>1</v>
      </c>
      <c r="AB90" s="9">
        <f t="shared" si="17"/>
        <v>500</v>
      </c>
      <c r="AC90" s="9"/>
      <c r="AD90" s="9"/>
      <c r="AE90" s="9"/>
      <c r="AF90" s="9"/>
      <c r="AG90" s="9"/>
      <c r="AH90" s="9">
        <f t="shared" si="18"/>
        <v>1500</v>
      </c>
      <c r="AI90" s="9">
        <f t="shared" si="18"/>
        <v>0</v>
      </c>
      <c r="AJ90" s="9">
        <f t="shared" si="14"/>
        <v>0</v>
      </c>
      <c r="AK90" s="9">
        <f t="shared" si="14"/>
        <v>0</v>
      </c>
      <c r="AL90" s="9">
        <f t="shared" si="14"/>
        <v>0</v>
      </c>
      <c r="AM90" s="9">
        <f t="shared" si="14"/>
        <v>0</v>
      </c>
      <c r="AN90" s="9">
        <f t="shared" si="14"/>
        <v>0</v>
      </c>
      <c r="AO90" s="9">
        <f t="shared" si="12"/>
        <v>0</v>
      </c>
      <c r="AP90" s="9">
        <f t="shared" si="12"/>
        <v>0</v>
      </c>
      <c r="AQ90" s="9">
        <f t="shared" si="12"/>
        <v>0</v>
      </c>
      <c r="AR90" s="9">
        <f t="shared" si="12"/>
        <v>0</v>
      </c>
      <c r="AS90" s="9">
        <f t="shared" si="12"/>
        <v>0</v>
      </c>
      <c r="AT90" s="9">
        <f t="shared" si="12"/>
        <v>0</v>
      </c>
    </row>
    <row r="91" spans="1:46" x14ac:dyDescent="0.25">
      <c r="A91" s="2" t="s">
        <v>84</v>
      </c>
      <c r="B91" s="2" t="s">
        <v>106</v>
      </c>
      <c r="C91" s="1">
        <v>200000</v>
      </c>
      <c r="J91" s="5">
        <v>0.1</v>
      </c>
      <c r="K91" s="5">
        <v>0.6</v>
      </c>
      <c r="L91" s="5"/>
      <c r="M91" s="5"/>
      <c r="N91" s="5"/>
      <c r="O91" s="5"/>
      <c r="P91" s="5">
        <v>0.05</v>
      </c>
      <c r="Q91" s="5"/>
      <c r="R91" s="5">
        <v>0.15</v>
      </c>
      <c r="S91" s="5">
        <v>0.1</v>
      </c>
      <c r="T91" s="5"/>
      <c r="U91" s="5"/>
      <c r="V91" s="5"/>
      <c r="W91" s="5"/>
      <c r="X91" s="5"/>
      <c r="Z91" s="6">
        <f t="shared" si="16"/>
        <v>1</v>
      </c>
      <c r="AB91" s="9">
        <f t="shared" si="17"/>
        <v>20000</v>
      </c>
      <c r="AC91" s="9"/>
      <c r="AD91" s="9"/>
      <c r="AE91" s="9"/>
      <c r="AF91" s="9"/>
      <c r="AG91" s="9"/>
      <c r="AH91" s="9">
        <f t="shared" si="18"/>
        <v>120000</v>
      </c>
      <c r="AI91" s="9">
        <f t="shared" si="18"/>
        <v>0</v>
      </c>
      <c r="AJ91" s="9">
        <f t="shared" si="14"/>
        <v>0</v>
      </c>
      <c r="AK91" s="9">
        <f t="shared" si="14"/>
        <v>0</v>
      </c>
      <c r="AL91" s="9">
        <f t="shared" si="14"/>
        <v>10000</v>
      </c>
      <c r="AM91" s="9">
        <f t="shared" si="14"/>
        <v>0</v>
      </c>
      <c r="AN91" s="9">
        <f t="shared" si="14"/>
        <v>30000</v>
      </c>
      <c r="AO91" s="9">
        <f t="shared" si="12"/>
        <v>20000</v>
      </c>
      <c r="AP91" s="9">
        <f t="shared" si="12"/>
        <v>0</v>
      </c>
      <c r="AQ91" s="9">
        <f t="shared" si="12"/>
        <v>0</v>
      </c>
      <c r="AR91" s="9">
        <f t="shared" si="12"/>
        <v>0</v>
      </c>
      <c r="AS91" s="9">
        <f t="shared" si="12"/>
        <v>0</v>
      </c>
      <c r="AT91" s="9">
        <f t="shared" si="12"/>
        <v>0</v>
      </c>
    </row>
    <row r="92" spans="1:46" x14ac:dyDescent="0.25">
      <c r="A92" s="2" t="s">
        <v>84</v>
      </c>
      <c r="B92" s="2" t="s">
        <v>107</v>
      </c>
      <c r="C92" s="1">
        <v>60000</v>
      </c>
      <c r="J92" s="5">
        <v>0.1</v>
      </c>
      <c r="K92" s="5">
        <v>0.75</v>
      </c>
      <c r="L92" s="5"/>
      <c r="M92" s="5"/>
      <c r="N92" s="5"/>
      <c r="O92" s="5"/>
      <c r="P92" s="5">
        <v>0.05</v>
      </c>
      <c r="Q92" s="5"/>
      <c r="R92" s="5">
        <v>0.1</v>
      </c>
      <c r="S92" s="5"/>
      <c r="T92" s="5"/>
      <c r="U92" s="5"/>
      <c r="V92" s="5"/>
      <c r="W92" s="5"/>
      <c r="X92" s="5"/>
      <c r="Z92" s="6">
        <f t="shared" si="16"/>
        <v>1</v>
      </c>
      <c r="AB92" s="9">
        <f t="shared" si="17"/>
        <v>6000</v>
      </c>
      <c r="AC92" s="9"/>
      <c r="AD92" s="9"/>
      <c r="AE92" s="9"/>
      <c r="AF92" s="9"/>
      <c r="AG92" s="9"/>
      <c r="AH92" s="9">
        <f t="shared" si="18"/>
        <v>45000</v>
      </c>
      <c r="AI92" s="9">
        <f t="shared" si="18"/>
        <v>0</v>
      </c>
      <c r="AJ92" s="9">
        <f t="shared" si="14"/>
        <v>0</v>
      </c>
      <c r="AK92" s="9">
        <f t="shared" si="14"/>
        <v>0</v>
      </c>
      <c r="AL92" s="9">
        <f t="shared" si="14"/>
        <v>3000</v>
      </c>
      <c r="AM92" s="9">
        <f t="shared" si="14"/>
        <v>0</v>
      </c>
      <c r="AN92" s="9">
        <f t="shared" si="14"/>
        <v>6000</v>
      </c>
      <c r="AO92" s="9">
        <f t="shared" si="12"/>
        <v>0</v>
      </c>
      <c r="AP92" s="9">
        <f t="shared" si="12"/>
        <v>0</v>
      </c>
      <c r="AQ92" s="9">
        <f t="shared" si="12"/>
        <v>0</v>
      </c>
      <c r="AR92" s="9">
        <f t="shared" si="12"/>
        <v>0</v>
      </c>
      <c r="AS92" s="9">
        <f t="shared" si="12"/>
        <v>0</v>
      </c>
      <c r="AT92" s="9">
        <f t="shared" si="12"/>
        <v>0</v>
      </c>
    </row>
    <row r="93" spans="1:46" x14ac:dyDescent="0.25">
      <c r="A93" s="2" t="s">
        <v>84</v>
      </c>
      <c r="B93" s="2" t="s">
        <v>108</v>
      </c>
      <c r="C93" s="1">
        <v>1000</v>
      </c>
      <c r="J93" s="5">
        <v>0.1</v>
      </c>
      <c r="K93" s="5">
        <v>0.9</v>
      </c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Z93" s="6">
        <f t="shared" si="16"/>
        <v>1</v>
      </c>
      <c r="AB93" s="9">
        <f t="shared" si="17"/>
        <v>100</v>
      </c>
      <c r="AC93" s="9"/>
      <c r="AD93" s="9"/>
      <c r="AE93" s="9"/>
      <c r="AF93" s="9"/>
      <c r="AG93" s="9"/>
      <c r="AH93" s="9">
        <f t="shared" si="18"/>
        <v>900</v>
      </c>
      <c r="AI93" s="9">
        <f t="shared" si="18"/>
        <v>0</v>
      </c>
      <c r="AJ93" s="9">
        <f t="shared" si="14"/>
        <v>0</v>
      </c>
      <c r="AK93" s="9">
        <f t="shared" si="14"/>
        <v>0</v>
      </c>
      <c r="AL93" s="9">
        <f t="shared" si="14"/>
        <v>0</v>
      </c>
      <c r="AM93" s="9">
        <f t="shared" si="14"/>
        <v>0</v>
      </c>
      <c r="AN93" s="9">
        <f t="shared" si="14"/>
        <v>0</v>
      </c>
      <c r="AO93" s="9">
        <f t="shared" si="12"/>
        <v>0</v>
      </c>
      <c r="AP93" s="9">
        <f t="shared" si="12"/>
        <v>0</v>
      </c>
      <c r="AQ93" s="9">
        <f t="shared" si="12"/>
        <v>0</v>
      </c>
      <c r="AR93" s="9">
        <f t="shared" si="12"/>
        <v>0</v>
      </c>
      <c r="AS93" s="9">
        <f t="shared" si="12"/>
        <v>0</v>
      </c>
      <c r="AT93" s="9">
        <f t="shared" si="12"/>
        <v>0</v>
      </c>
    </row>
    <row r="94" spans="1:46" x14ac:dyDescent="0.25">
      <c r="A94" s="2" t="s">
        <v>84</v>
      </c>
      <c r="B94" s="2" t="s">
        <v>109</v>
      </c>
      <c r="C94" s="1">
        <v>40000</v>
      </c>
      <c r="J94" s="5">
        <v>0.1</v>
      </c>
      <c r="K94" s="5">
        <v>0.75</v>
      </c>
      <c r="L94" s="5"/>
      <c r="M94" s="5"/>
      <c r="N94" s="5"/>
      <c r="O94" s="5"/>
      <c r="P94" s="5">
        <v>0.05</v>
      </c>
      <c r="Q94" s="5"/>
      <c r="R94" s="5">
        <v>0.1</v>
      </c>
      <c r="S94" s="5"/>
      <c r="T94" s="5"/>
      <c r="U94" s="5"/>
      <c r="V94" s="5"/>
      <c r="W94" s="5"/>
      <c r="X94" s="5"/>
      <c r="Z94" s="6">
        <f t="shared" si="16"/>
        <v>1</v>
      </c>
      <c r="AB94" s="9">
        <f t="shared" si="17"/>
        <v>4000</v>
      </c>
      <c r="AC94" s="9"/>
      <c r="AD94" s="9"/>
      <c r="AE94" s="9"/>
      <c r="AF94" s="9"/>
      <c r="AG94" s="9"/>
      <c r="AH94" s="9">
        <f t="shared" si="18"/>
        <v>30000</v>
      </c>
      <c r="AI94" s="9">
        <f t="shared" si="18"/>
        <v>0</v>
      </c>
      <c r="AJ94" s="9">
        <f t="shared" si="14"/>
        <v>0</v>
      </c>
      <c r="AK94" s="9">
        <f t="shared" si="14"/>
        <v>0</v>
      </c>
      <c r="AL94" s="9">
        <f t="shared" si="14"/>
        <v>2000</v>
      </c>
      <c r="AM94" s="9">
        <f t="shared" si="14"/>
        <v>0</v>
      </c>
      <c r="AN94" s="9">
        <f t="shared" si="14"/>
        <v>4000</v>
      </c>
      <c r="AO94" s="9">
        <f t="shared" si="12"/>
        <v>0</v>
      </c>
      <c r="AP94" s="9">
        <f t="shared" si="12"/>
        <v>0</v>
      </c>
      <c r="AQ94" s="9">
        <f t="shared" si="12"/>
        <v>0</v>
      </c>
      <c r="AR94" s="9">
        <f t="shared" si="12"/>
        <v>0</v>
      </c>
      <c r="AS94" s="9">
        <f t="shared" si="12"/>
        <v>0</v>
      </c>
      <c r="AT94" s="9">
        <f t="shared" si="12"/>
        <v>0</v>
      </c>
    </row>
    <row r="95" spans="1:46" x14ac:dyDescent="0.25">
      <c r="A95" s="2" t="s">
        <v>84</v>
      </c>
      <c r="B95" s="2" t="s">
        <v>110</v>
      </c>
      <c r="C95" s="1">
        <v>20000</v>
      </c>
      <c r="J95" s="5">
        <v>0.1</v>
      </c>
      <c r="K95" s="5">
        <v>0.7</v>
      </c>
      <c r="L95" s="5"/>
      <c r="M95" s="5"/>
      <c r="N95" s="5"/>
      <c r="O95" s="5"/>
      <c r="P95" s="5">
        <v>0.05</v>
      </c>
      <c r="Q95" s="5"/>
      <c r="R95" s="5">
        <v>0.1</v>
      </c>
      <c r="S95" s="5">
        <v>0.05</v>
      </c>
      <c r="T95" s="5"/>
      <c r="U95" s="5"/>
      <c r="V95" s="5"/>
      <c r="W95" s="5"/>
      <c r="X95" s="5"/>
      <c r="Z95" s="6">
        <f t="shared" si="16"/>
        <v>1</v>
      </c>
      <c r="AB95" s="9">
        <f t="shared" si="17"/>
        <v>2000</v>
      </c>
      <c r="AC95" s="9"/>
      <c r="AD95" s="9"/>
      <c r="AE95" s="9"/>
      <c r="AF95" s="9"/>
      <c r="AG95" s="9"/>
      <c r="AH95" s="9">
        <f t="shared" ref="AH95:AI100" si="19">$C95*K95</f>
        <v>14000</v>
      </c>
      <c r="AI95" s="9">
        <f t="shared" si="19"/>
        <v>0</v>
      </c>
      <c r="AJ95" s="9">
        <f t="shared" si="14"/>
        <v>0</v>
      </c>
      <c r="AK95" s="9">
        <f t="shared" si="14"/>
        <v>0</v>
      </c>
      <c r="AL95" s="9">
        <f t="shared" si="14"/>
        <v>1000</v>
      </c>
      <c r="AM95" s="9">
        <f t="shared" si="14"/>
        <v>0</v>
      </c>
      <c r="AN95" s="9">
        <f t="shared" si="14"/>
        <v>2000</v>
      </c>
      <c r="AO95" s="9">
        <f t="shared" si="14"/>
        <v>1000</v>
      </c>
      <c r="AP95" s="9">
        <f t="shared" si="14"/>
        <v>0</v>
      </c>
      <c r="AQ95" s="9">
        <f t="shared" si="14"/>
        <v>0</v>
      </c>
      <c r="AR95" s="9">
        <f t="shared" si="14"/>
        <v>0</v>
      </c>
      <c r="AS95" s="9">
        <f t="shared" si="14"/>
        <v>0</v>
      </c>
      <c r="AT95" s="9">
        <f t="shared" si="14"/>
        <v>0</v>
      </c>
    </row>
    <row r="96" spans="1:46" x14ac:dyDescent="0.25"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Z96" s="6">
        <f t="shared" si="16"/>
        <v>0</v>
      </c>
      <c r="AB96" s="9">
        <f t="shared" si="17"/>
        <v>0</v>
      </c>
      <c r="AC96" s="9"/>
      <c r="AD96" s="9"/>
      <c r="AE96" s="9"/>
      <c r="AF96" s="9"/>
      <c r="AG96" s="9"/>
      <c r="AH96" s="9">
        <f t="shared" si="19"/>
        <v>0</v>
      </c>
      <c r="AI96" s="9">
        <f t="shared" si="19"/>
        <v>0</v>
      </c>
      <c r="AJ96" s="9">
        <f t="shared" si="14"/>
        <v>0</v>
      </c>
      <c r="AK96" s="9">
        <f t="shared" si="14"/>
        <v>0</v>
      </c>
      <c r="AL96" s="9">
        <f t="shared" si="14"/>
        <v>0</v>
      </c>
      <c r="AM96" s="9">
        <f t="shared" si="14"/>
        <v>0</v>
      </c>
      <c r="AN96" s="9">
        <f t="shared" si="14"/>
        <v>0</v>
      </c>
      <c r="AO96" s="9">
        <f t="shared" si="14"/>
        <v>0</v>
      </c>
      <c r="AP96" s="9">
        <f t="shared" si="14"/>
        <v>0</v>
      </c>
      <c r="AQ96" s="9">
        <f t="shared" si="14"/>
        <v>0</v>
      </c>
      <c r="AR96" s="9">
        <f t="shared" si="14"/>
        <v>0</v>
      </c>
      <c r="AS96" s="9">
        <f t="shared" si="14"/>
        <v>0</v>
      </c>
      <c r="AT96" s="9">
        <f t="shared" si="14"/>
        <v>0</v>
      </c>
    </row>
    <row r="97" spans="10:46" x14ac:dyDescent="0.25"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Z97" s="6">
        <f t="shared" si="16"/>
        <v>0</v>
      </c>
      <c r="AB97" s="9">
        <f t="shared" si="17"/>
        <v>0</v>
      </c>
      <c r="AC97" s="9"/>
      <c r="AD97" s="9"/>
      <c r="AE97" s="9"/>
      <c r="AF97" s="9"/>
      <c r="AG97" s="9"/>
      <c r="AH97" s="9">
        <f t="shared" si="19"/>
        <v>0</v>
      </c>
      <c r="AI97" s="9">
        <f t="shared" si="19"/>
        <v>0</v>
      </c>
      <c r="AJ97" s="9">
        <f t="shared" si="14"/>
        <v>0</v>
      </c>
      <c r="AK97" s="9">
        <f t="shared" si="14"/>
        <v>0</v>
      </c>
      <c r="AL97" s="9">
        <f t="shared" si="14"/>
        <v>0</v>
      </c>
      <c r="AM97" s="9">
        <f t="shared" si="14"/>
        <v>0</v>
      </c>
      <c r="AN97" s="9">
        <f t="shared" si="14"/>
        <v>0</v>
      </c>
      <c r="AO97" s="9">
        <f t="shared" si="14"/>
        <v>0</v>
      </c>
      <c r="AP97" s="9">
        <f t="shared" si="14"/>
        <v>0</v>
      </c>
      <c r="AQ97" s="9">
        <f t="shared" si="14"/>
        <v>0</v>
      </c>
      <c r="AR97" s="9">
        <f t="shared" si="14"/>
        <v>0</v>
      </c>
      <c r="AS97" s="9">
        <f t="shared" si="14"/>
        <v>0</v>
      </c>
      <c r="AT97" s="9">
        <f t="shared" si="14"/>
        <v>0</v>
      </c>
    </row>
    <row r="98" spans="10:46" x14ac:dyDescent="0.25"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Z98" s="6">
        <f t="shared" si="16"/>
        <v>0</v>
      </c>
      <c r="AB98" s="9">
        <f t="shared" si="17"/>
        <v>0</v>
      </c>
      <c r="AC98" s="9"/>
      <c r="AD98" s="9"/>
      <c r="AE98" s="9"/>
      <c r="AF98" s="9"/>
      <c r="AG98" s="9"/>
      <c r="AH98" s="9">
        <f t="shared" si="19"/>
        <v>0</v>
      </c>
      <c r="AI98" s="9">
        <f t="shared" si="19"/>
        <v>0</v>
      </c>
      <c r="AJ98" s="9">
        <f t="shared" si="14"/>
        <v>0</v>
      </c>
      <c r="AK98" s="9">
        <f t="shared" si="14"/>
        <v>0</v>
      </c>
      <c r="AL98" s="9">
        <f t="shared" si="14"/>
        <v>0</v>
      </c>
      <c r="AM98" s="9">
        <f t="shared" si="14"/>
        <v>0</v>
      </c>
      <c r="AN98" s="9">
        <f t="shared" si="14"/>
        <v>0</v>
      </c>
      <c r="AO98" s="9">
        <f t="shared" si="14"/>
        <v>0</v>
      </c>
      <c r="AP98" s="9">
        <f t="shared" si="14"/>
        <v>0</v>
      </c>
      <c r="AQ98" s="9">
        <f t="shared" si="14"/>
        <v>0</v>
      </c>
      <c r="AR98" s="9">
        <f t="shared" si="14"/>
        <v>0</v>
      </c>
      <c r="AS98" s="9">
        <f t="shared" si="14"/>
        <v>0</v>
      </c>
      <c r="AT98" s="9">
        <f t="shared" si="14"/>
        <v>0</v>
      </c>
    </row>
    <row r="99" spans="10:46" x14ac:dyDescent="0.25"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Z99" s="6">
        <f t="shared" si="16"/>
        <v>0</v>
      </c>
      <c r="AB99" s="9">
        <f t="shared" si="17"/>
        <v>0</v>
      </c>
      <c r="AC99" s="9"/>
      <c r="AD99" s="9"/>
      <c r="AE99" s="9"/>
      <c r="AF99" s="9"/>
      <c r="AG99" s="9"/>
      <c r="AH99" s="9">
        <f t="shared" si="19"/>
        <v>0</v>
      </c>
      <c r="AI99" s="9">
        <f t="shared" si="19"/>
        <v>0</v>
      </c>
      <c r="AJ99" s="9">
        <f t="shared" si="14"/>
        <v>0</v>
      </c>
      <c r="AK99" s="9">
        <f t="shared" si="14"/>
        <v>0</v>
      </c>
      <c r="AL99" s="9">
        <f t="shared" si="14"/>
        <v>0</v>
      </c>
      <c r="AM99" s="9">
        <f t="shared" si="14"/>
        <v>0</v>
      </c>
      <c r="AN99" s="9">
        <f t="shared" si="14"/>
        <v>0</v>
      </c>
      <c r="AO99" s="9">
        <f t="shared" si="14"/>
        <v>0</v>
      </c>
      <c r="AP99" s="9">
        <f t="shared" si="14"/>
        <v>0</v>
      </c>
      <c r="AQ99" s="9">
        <f t="shared" si="14"/>
        <v>0</v>
      </c>
      <c r="AR99" s="9">
        <f t="shared" si="14"/>
        <v>0</v>
      </c>
      <c r="AS99" s="9">
        <f t="shared" si="14"/>
        <v>0</v>
      </c>
      <c r="AT99" s="9">
        <f t="shared" si="14"/>
        <v>0</v>
      </c>
    </row>
    <row r="100" spans="10:46" x14ac:dyDescent="0.25"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Z100" s="6">
        <f t="shared" si="16"/>
        <v>0</v>
      </c>
      <c r="AB100" s="9">
        <f t="shared" si="17"/>
        <v>0</v>
      </c>
      <c r="AC100" s="9"/>
      <c r="AD100" s="9"/>
      <c r="AE100" s="9"/>
      <c r="AF100" s="9"/>
      <c r="AG100" s="9"/>
      <c r="AH100" s="9">
        <f t="shared" si="19"/>
        <v>0</v>
      </c>
      <c r="AI100" s="9">
        <f t="shared" si="19"/>
        <v>0</v>
      </c>
      <c r="AJ100" s="9">
        <f t="shared" ref="AJ100:AT100" si="20">$C100*N100</f>
        <v>0</v>
      </c>
      <c r="AK100" s="9">
        <f t="shared" si="20"/>
        <v>0</v>
      </c>
      <c r="AL100" s="9">
        <f t="shared" si="20"/>
        <v>0</v>
      </c>
      <c r="AM100" s="9">
        <f t="shared" si="20"/>
        <v>0</v>
      </c>
      <c r="AN100" s="9">
        <f t="shared" si="20"/>
        <v>0</v>
      </c>
      <c r="AO100" s="9">
        <f t="shared" si="20"/>
        <v>0</v>
      </c>
      <c r="AP100" s="9">
        <f t="shared" si="20"/>
        <v>0</v>
      </c>
      <c r="AQ100" s="9">
        <f t="shared" si="20"/>
        <v>0</v>
      </c>
      <c r="AR100" s="9">
        <f t="shared" si="20"/>
        <v>0</v>
      </c>
      <c r="AS100" s="9">
        <f t="shared" si="20"/>
        <v>0</v>
      </c>
      <c r="AT100" s="9">
        <f t="shared" si="20"/>
        <v>0</v>
      </c>
    </row>
    <row r="101" spans="10:46" x14ac:dyDescent="0.25"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Z101" s="6"/>
    </row>
    <row r="102" spans="10:46" x14ac:dyDescent="0.25"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Z102" s="6"/>
    </row>
    <row r="103" spans="10:46" x14ac:dyDescent="0.25"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Z103" s="6"/>
    </row>
    <row r="104" spans="10:46" x14ac:dyDescent="0.25"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Z104" s="6"/>
    </row>
    <row r="105" spans="10:46" x14ac:dyDescent="0.25"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Z105" s="6"/>
    </row>
    <row r="106" spans="10:46" x14ac:dyDescent="0.25"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Z106" s="6"/>
    </row>
    <row r="107" spans="10:46" x14ac:dyDescent="0.25"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Z107" s="6"/>
    </row>
    <row r="108" spans="10:46" x14ac:dyDescent="0.25"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Z108" s="6"/>
    </row>
    <row r="109" spans="10:46" x14ac:dyDescent="0.25"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Z109" s="6"/>
    </row>
    <row r="110" spans="10:46" x14ac:dyDescent="0.25"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Z110" s="6"/>
    </row>
    <row r="111" spans="10:46" x14ac:dyDescent="0.25"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Z111" s="6"/>
    </row>
    <row r="112" spans="10:46" x14ac:dyDescent="0.25"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Z112" s="6"/>
    </row>
    <row r="113" spans="10:26" x14ac:dyDescent="0.25"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Z113" s="6"/>
    </row>
    <row r="114" spans="10:26" x14ac:dyDescent="0.25"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Z114" s="6"/>
    </row>
    <row r="115" spans="10:26" x14ac:dyDescent="0.25"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Z115" s="6"/>
    </row>
    <row r="116" spans="10:26" x14ac:dyDescent="0.25"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Z116" s="6"/>
    </row>
    <row r="117" spans="10:26" x14ac:dyDescent="0.25"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Z117" s="6"/>
    </row>
    <row r="118" spans="10:26" x14ac:dyDescent="0.25"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Z118" s="6"/>
    </row>
    <row r="119" spans="10:26" x14ac:dyDescent="0.25"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Z119" s="6"/>
    </row>
    <row r="120" spans="10:26" x14ac:dyDescent="0.25"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Z120" s="6"/>
    </row>
    <row r="121" spans="10:26" x14ac:dyDescent="0.25"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Z121" s="6"/>
    </row>
    <row r="122" spans="10:26" x14ac:dyDescent="0.25"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Z122" s="6"/>
    </row>
    <row r="123" spans="10:26" x14ac:dyDescent="0.25"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Z123" s="6"/>
    </row>
    <row r="124" spans="10:26" x14ac:dyDescent="0.25"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Z124" s="6"/>
    </row>
    <row r="125" spans="10:26" x14ac:dyDescent="0.25"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Z125" s="6"/>
    </row>
    <row r="126" spans="10:26" x14ac:dyDescent="0.25"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Z126" s="6"/>
    </row>
    <row r="127" spans="10:26" x14ac:dyDescent="0.25"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Z127" s="6"/>
    </row>
    <row r="128" spans="10:26" x14ac:dyDescent="0.25"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Z128" s="6"/>
    </row>
    <row r="129" spans="10:26" x14ac:dyDescent="0.25"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Z129" s="6"/>
    </row>
    <row r="130" spans="10:26" x14ac:dyDescent="0.25"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Z130" s="6"/>
    </row>
    <row r="131" spans="10:26" x14ac:dyDescent="0.25"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Z131" s="6"/>
    </row>
    <row r="132" spans="10:26" x14ac:dyDescent="0.25"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Z132" s="6"/>
    </row>
    <row r="133" spans="10:26" x14ac:dyDescent="0.25"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Z133" s="6"/>
    </row>
    <row r="134" spans="10:26" x14ac:dyDescent="0.25"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Z134" s="6"/>
    </row>
    <row r="135" spans="10:26" x14ac:dyDescent="0.25"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Z135" s="6"/>
    </row>
    <row r="136" spans="10:26" x14ac:dyDescent="0.25"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Z136" s="6"/>
    </row>
    <row r="137" spans="10:26" x14ac:dyDescent="0.25"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Z137" s="6"/>
    </row>
    <row r="138" spans="10:26" x14ac:dyDescent="0.25"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Z138" s="6"/>
    </row>
    <row r="139" spans="10:26" x14ac:dyDescent="0.25"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Z139" s="6"/>
    </row>
    <row r="140" spans="10:26" x14ac:dyDescent="0.25"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Z140" s="6"/>
    </row>
    <row r="141" spans="10:26" x14ac:dyDescent="0.25"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Z141" s="6"/>
    </row>
    <row r="142" spans="10:26" x14ac:dyDescent="0.25">
      <c r="Z142" s="6"/>
    </row>
    <row r="143" spans="10:26" x14ac:dyDescent="0.25">
      <c r="Z143" s="6"/>
    </row>
    <row r="144" spans="10:26" x14ac:dyDescent="0.25">
      <c r="Z144" s="6"/>
    </row>
    <row r="145" spans="26:26" x14ac:dyDescent="0.25">
      <c r="Z145" s="6"/>
    </row>
    <row r="146" spans="26:26" x14ac:dyDescent="0.25">
      <c r="Z146" s="6"/>
    </row>
    <row r="147" spans="26:26" x14ac:dyDescent="0.25">
      <c r="Z147" s="6"/>
    </row>
    <row r="148" spans="26:26" x14ac:dyDescent="0.25">
      <c r="Z148" s="6"/>
    </row>
    <row r="149" spans="26:26" x14ac:dyDescent="0.25">
      <c r="Z149" s="6"/>
    </row>
  </sheetData>
  <mergeCells count="5">
    <mergeCell ref="J7:X7"/>
    <mergeCell ref="K8:L8"/>
    <mergeCell ref="M8:Q8"/>
    <mergeCell ref="AH8:AI8"/>
    <mergeCell ref="AJ8:AM8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ED201-4A65-4C0A-8E9F-27870915729A}">
  <dimension ref="A1:AD72"/>
  <sheetViews>
    <sheetView topLeftCell="F1" workbookViewId="0">
      <selection activeCell="M4" sqref="M4"/>
    </sheetView>
  </sheetViews>
  <sheetFormatPr defaultColWidth="9.1796875" defaultRowHeight="14.5" x14ac:dyDescent="0.35"/>
  <cols>
    <col min="1" max="1" width="9.1796875" style="14"/>
    <col min="2" max="2" width="32.81640625" style="14" bestFit="1" customWidth="1"/>
    <col min="3" max="3" width="13.54296875" style="14" bestFit="1" customWidth="1"/>
    <col min="4" max="4" width="13.54296875" style="14" customWidth="1"/>
    <col min="5" max="5" width="18.7265625" style="14" bestFit="1" customWidth="1"/>
    <col min="6" max="6" width="12.54296875" style="14" bestFit="1" customWidth="1"/>
    <col min="7" max="7" width="19.81640625" style="14" bestFit="1" customWidth="1"/>
    <col min="8" max="8" width="22.453125" style="14" customWidth="1"/>
    <col min="9" max="9" width="13.7265625" style="14" customWidth="1"/>
    <col min="10" max="10" width="18.7265625" style="14" bestFit="1" customWidth="1"/>
    <col min="11" max="11" width="10.1796875" style="14" bestFit="1" customWidth="1"/>
    <col min="12" max="12" width="15.1796875" style="14" bestFit="1" customWidth="1"/>
    <col min="13" max="13" width="13.54296875" style="14" bestFit="1" customWidth="1"/>
    <col min="14" max="14" width="14" style="14" bestFit="1" customWidth="1"/>
    <col min="15" max="15" width="18.7265625" style="14" bestFit="1" customWidth="1"/>
    <col min="16" max="16" width="9.1796875" style="14"/>
    <col min="17" max="17" width="24" style="14" bestFit="1" customWidth="1"/>
    <col min="18" max="18" width="13.54296875" style="14" bestFit="1" customWidth="1"/>
    <col min="19" max="19" width="14" style="14" bestFit="1" customWidth="1"/>
    <col min="20" max="20" width="18.7265625" style="14" bestFit="1" customWidth="1"/>
    <col min="21" max="21" width="9.1796875" style="14"/>
    <col min="22" max="22" width="19.1796875" style="14" bestFit="1" customWidth="1"/>
    <col min="23" max="23" width="11.54296875" style="14" customWidth="1"/>
    <col min="24" max="24" width="14" style="14" bestFit="1" customWidth="1"/>
    <col min="25" max="25" width="18.7265625" style="14" bestFit="1" customWidth="1"/>
    <col min="26" max="26" width="12.54296875" style="14" bestFit="1" customWidth="1"/>
    <col min="27" max="27" width="13.1796875" style="14" bestFit="1" customWidth="1"/>
    <col min="28" max="28" width="13.7265625" style="14" bestFit="1" customWidth="1"/>
    <col min="29" max="29" width="14" style="14" bestFit="1" customWidth="1"/>
    <col min="30" max="30" width="18.7265625" style="14" bestFit="1" customWidth="1"/>
    <col min="31" max="16384" width="9.1796875" style="14"/>
  </cols>
  <sheetData>
    <row r="1" spans="1:30" ht="23.5" x14ac:dyDescent="0.55000000000000004">
      <c r="A1" s="13" t="s">
        <v>119</v>
      </c>
    </row>
    <row r="3" spans="1:30" ht="18.5" x14ac:dyDescent="0.45">
      <c r="B3" s="15" t="s">
        <v>120</v>
      </c>
      <c r="C3" s="16" t="s">
        <v>121</v>
      </c>
      <c r="D3" s="17" t="s">
        <v>122</v>
      </c>
      <c r="E3" s="17" t="s">
        <v>123</v>
      </c>
      <c r="F3" s="16" t="s">
        <v>124</v>
      </c>
      <c r="G3" s="16" t="s">
        <v>125</v>
      </c>
    </row>
    <row r="4" spans="1:30" x14ac:dyDescent="0.35">
      <c r="B4" s="14" t="s">
        <v>126</v>
      </c>
      <c r="C4" s="18">
        <v>2.93</v>
      </c>
      <c r="D4" s="18">
        <v>245</v>
      </c>
      <c r="E4" s="19">
        <f>D4/1.6</f>
        <v>153.125</v>
      </c>
      <c r="F4" s="19">
        <f>D4/C4</f>
        <v>83.617747440273035</v>
      </c>
      <c r="I4" s="14" t="s">
        <v>127</v>
      </c>
      <c r="K4" s="20">
        <f>SUM(D11:D72)+SUM(I11:I40)+SUM(N11:N18)+SUM(S11:S45)+SUM(X11:X15)+SUM(AC11:AC13)</f>
        <v>22816957.100039214</v>
      </c>
      <c r="L4" s="14" t="s">
        <v>128</v>
      </c>
      <c r="M4" s="20"/>
    </row>
    <row r="5" spans="1:30" x14ac:dyDescent="0.35">
      <c r="B5" s="14" t="s">
        <v>129</v>
      </c>
      <c r="C5" s="18">
        <v>7.1</v>
      </c>
      <c r="D5" s="18">
        <v>570</v>
      </c>
      <c r="E5" s="19">
        <f>D5/1.6</f>
        <v>356.25</v>
      </c>
      <c r="F5" s="19">
        <f>D5/C5</f>
        <v>80.281690140845072</v>
      </c>
      <c r="K5" s="21">
        <f>K4*0.386102</f>
        <v>8809672.7702393401</v>
      </c>
      <c r="L5" s="14" t="s">
        <v>130</v>
      </c>
    </row>
    <row r="6" spans="1:30" x14ac:dyDescent="0.35">
      <c r="B6" s="14" t="s">
        <v>131</v>
      </c>
      <c r="C6" s="18">
        <v>9.68</v>
      </c>
      <c r="D6" s="18">
        <v>798</v>
      </c>
      <c r="E6" s="19">
        <f>D6/1.6</f>
        <v>498.75</v>
      </c>
      <c r="F6" s="19">
        <f>D6/C6</f>
        <v>82.438016528925615</v>
      </c>
    </row>
    <row r="7" spans="1:30" x14ac:dyDescent="0.35">
      <c r="B7" s="14" t="s">
        <v>132</v>
      </c>
      <c r="C7" s="18"/>
      <c r="D7" s="18"/>
      <c r="E7" s="18"/>
      <c r="F7" s="19">
        <f>AVERAGE(F4:F6)</f>
        <v>82.112484703347903</v>
      </c>
      <c r="G7" s="19">
        <f>F7*F7</f>
        <v>6742.4601441575433</v>
      </c>
    </row>
    <row r="8" spans="1:30" x14ac:dyDescent="0.35">
      <c r="X8" s="20">
        <f>X11+X13+X14</f>
        <v>902613.13949837023</v>
      </c>
      <c r="Y8" s="20">
        <f>Y11+Y13+Y14</f>
        <v>348500.7383865997</v>
      </c>
    </row>
    <row r="9" spans="1:30" x14ac:dyDescent="0.35">
      <c r="D9" s="20">
        <f>SUM(D11:D72)</f>
        <v>11667220.458051654</v>
      </c>
      <c r="E9" s="20">
        <f>SUM(E11:E72)</f>
        <v>4504737.1532946592</v>
      </c>
      <c r="I9" s="20">
        <f>SUM(I11:I40)</f>
        <v>2683971.1095847925</v>
      </c>
      <c r="J9" s="20">
        <f>SUM(J11:J40)</f>
        <v>1036286.6133529079</v>
      </c>
      <c r="N9" s="20">
        <f>SUM(N11:N18)</f>
        <v>547083.21609694313</v>
      </c>
      <c r="O9" s="20">
        <f>SUM(O11:O18)</f>
        <v>211229.92390146191</v>
      </c>
      <c r="S9" s="20">
        <f>SUM(S11:S45)</f>
        <v>4359202.7570021767</v>
      </c>
      <c r="T9" s="20">
        <f>SUM(T11:T45)</f>
        <v>1683096.9028840542</v>
      </c>
      <c r="X9" s="20">
        <f>SUM(X11:X15)</f>
        <v>3212917.1078939526</v>
      </c>
      <c r="Y9" s="20">
        <f>SUM(Y11:Y15)</f>
        <v>1240513.7211920707</v>
      </c>
      <c r="AC9" s="20">
        <f>SUM(AC11:AC13)</f>
        <v>346562.45140969777</v>
      </c>
      <c r="AD9" s="20">
        <f>SUM(AD11:AD13)</f>
        <v>133808.45561418711</v>
      </c>
    </row>
    <row r="10" spans="1:30" s="22" customFormat="1" ht="18.5" x14ac:dyDescent="0.45">
      <c r="B10" s="22" t="s">
        <v>133</v>
      </c>
      <c r="C10" s="22" t="s">
        <v>134</v>
      </c>
      <c r="D10" s="22" t="s">
        <v>135</v>
      </c>
      <c r="E10" s="22" t="s">
        <v>136</v>
      </c>
      <c r="G10" s="22" t="s">
        <v>137</v>
      </c>
      <c r="H10" s="22" t="s">
        <v>134</v>
      </c>
      <c r="I10" s="22" t="s">
        <v>135</v>
      </c>
      <c r="J10" s="22" t="s">
        <v>136</v>
      </c>
      <c r="L10" s="22" t="s">
        <v>138</v>
      </c>
      <c r="M10" s="22" t="s">
        <v>134</v>
      </c>
      <c r="N10" s="22" t="s">
        <v>135</v>
      </c>
      <c r="O10" s="22" t="s">
        <v>136</v>
      </c>
      <c r="Q10" s="22" t="s">
        <v>139</v>
      </c>
      <c r="R10" s="22" t="s">
        <v>134</v>
      </c>
      <c r="S10" s="22" t="s">
        <v>135</v>
      </c>
      <c r="T10" s="22" t="s">
        <v>136</v>
      </c>
      <c r="V10" s="22" t="s">
        <v>140</v>
      </c>
      <c r="W10" s="22" t="s">
        <v>134</v>
      </c>
      <c r="X10" s="22" t="s">
        <v>135</v>
      </c>
      <c r="Y10" s="22" t="s">
        <v>136</v>
      </c>
      <c r="AA10" s="22" t="s">
        <v>141</v>
      </c>
      <c r="AB10" s="22" t="s">
        <v>134</v>
      </c>
      <c r="AC10" s="22" t="s">
        <v>135</v>
      </c>
      <c r="AD10" s="22" t="s">
        <v>136</v>
      </c>
    </row>
    <row r="11" spans="1:30" x14ac:dyDescent="0.35">
      <c r="B11" s="14" t="s">
        <v>142</v>
      </c>
      <c r="C11" s="14">
        <v>123.88</v>
      </c>
      <c r="D11" s="21">
        <f t="shared" ref="D11:D72" si="0">C11*$G$7</f>
        <v>835255.96265823639</v>
      </c>
      <c r="E11" s="21">
        <f>D11*0.386102</f>
        <v>322493.99769427039</v>
      </c>
      <c r="G11" s="23" t="s">
        <v>143</v>
      </c>
      <c r="H11" s="14">
        <v>26.06</v>
      </c>
      <c r="I11" s="21">
        <f t="shared" ref="I11:I40" si="1">H11*$G$7</f>
        <v>175708.51135674556</v>
      </c>
      <c r="J11" s="21">
        <f t="shared" ref="J11:J40" si="2">I11*0.386102</f>
        <v>67841.407651862173</v>
      </c>
      <c r="L11" s="23" t="s">
        <v>144</v>
      </c>
      <c r="M11" s="14">
        <v>34.840000000000003</v>
      </c>
      <c r="N11" s="21">
        <f t="shared" ref="N11:N18" si="3">M11*$G$7</f>
        <v>234907.31142244884</v>
      </c>
      <c r="O11" s="21">
        <f t="shared" ref="O11:O18" si="4">N11*0.386102</f>
        <v>90698.182754830341</v>
      </c>
      <c r="Q11" s="23" t="s">
        <v>145</v>
      </c>
      <c r="R11" s="14">
        <v>2.98</v>
      </c>
      <c r="S11" s="21">
        <f t="shared" ref="S11:S41" si="5">R11*$G$7</f>
        <v>20092.53122958948</v>
      </c>
      <c r="T11" s="21">
        <f t="shared" ref="T11:T41" si="6">S11*0.386102</f>
        <v>7757.7664928069571</v>
      </c>
      <c r="U11" s="21"/>
      <c r="V11" s="23" t="s">
        <v>146</v>
      </c>
      <c r="W11" s="14">
        <v>37.79</v>
      </c>
      <c r="X11" s="21">
        <f>W11*$G$7</f>
        <v>254797.56884771356</v>
      </c>
      <c r="Y11" s="21">
        <f>X11*0.386102</f>
        <v>98377.850927239895</v>
      </c>
      <c r="AA11" s="14" t="s">
        <v>147</v>
      </c>
      <c r="AB11" s="14">
        <v>12.43</v>
      </c>
      <c r="AC11" s="21">
        <f>AB11*$G$7</f>
        <v>83808.779591878265</v>
      </c>
      <c r="AD11" s="21">
        <f>AC11*0.386102</f>
        <v>32358.737417983382</v>
      </c>
    </row>
    <row r="12" spans="1:30" x14ac:dyDescent="0.35">
      <c r="B12" s="14" t="s">
        <v>148</v>
      </c>
      <c r="C12" s="14">
        <v>24.22</v>
      </c>
      <c r="D12" s="21">
        <f t="shared" si="0"/>
        <v>163302.38469149568</v>
      </c>
      <c r="E12" s="21">
        <f t="shared" ref="E12:E72" si="7">D12*0.386102</f>
        <v>63051.377334155863</v>
      </c>
      <c r="G12" s="23" t="s">
        <v>149</v>
      </c>
      <c r="H12" s="14">
        <v>30.74</v>
      </c>
      <c r="I12" s="21">
        <f t="shared" si="1"/>
        <v>207263.22483140285</v>
      </c>
      <c r="J12" s="21">
        <f t="shared" si="2"/>
        <v>80024.745633854298</v>
      </c>
      <c r="L12" s="23" t="s">
        <v>150</v>
      </c>
      <c r="M12" s="14">
        <v>6.06</v>
      </c>
      <c r="N12" s="21">
        <f t="shared" si="3"/>
        <v>40859.308473594712</v>
      </c>
      <c r="O12" s="21">
        <f t="shared" si="4"/>
        <v>15775.860720271865</v>
      </c>
      <c r="Q12" s="23" t="s">
        <v>99</v>
      </c>
      <c r="R12" s="14">
        <v>39.880000000000003</v>
      </c>
      <c r="S12" s="21">
        <f t="shared" si="5"/>
        <v>268889.31054900284</v>
      </c>
      <c r="T12" s="21">
        <f t="shared" si="6"/>
        <v>103818.7005815911</v>
      </c>
      <c r="V12" s="23" t="s">
        <v>151</v>
      </c>
      <c r="W12" s="14">
        <v>165.52</v>
      </c>
      <c r="X12" s="21">
        <f>W12*$G$7</f>
        <v>1116012.0030609567</v>
      </c>
      <c r="Y12" s="21">
        <f>X12*0.386102</f>
        <v>430894.46640584152</v>
      </c>
      <c r="AA12" s="14" t="s">
        <v>152</v>
      </c>
      <c r="AB12" s="14">
        <v>26.8</v>
      </c>
      <c r="AC12" s="21">
        <f>AB12*$G$7</f>
        <v>180697.93186342216</v>
      </c>
      <c r="AD12" s="21">
        <f>AC12*0.386102</f>
        <v>69767.832888331017</v>
      </c>
    </row>
    <row r="13" spans="1:30" x14ac:dyDescent="0.35">
      <c r="B13" s="23" t="s">
        <v>30</v>
      </c>
      <c r="C13" s="14">
        <f>65.59-5.57-1.97</f>
        <v>58.050000000000004</v>
      </c>
      <c r="D13" s="21">
        <f t="shared" si="0"/>
        <v>391399.8113683454</v>
      </c>
      <c r="E13" s="21">
        <f t="shared" si="7"/>
        <v>151120.24996894089</v>
      </c>
      <c r="G13" s="14" t="s">
        <v>153</v>
      </c>
      <c r="H13" s="14">
        <v>1.59</v>
      </c>
      <c r="I13" s="21">
        <f t="shared" si="1"/>
        <v>10720.511629210494</v>
      </c>
      <c r="J13" s="21">
        <f t="shared" si="2"/>
        <v>4139.2109810614302</v>
      </c>
      <c r="L13" s="23" t="s">
        <v>154</v>
      </c>
      <c r="M13" s="14">
        <v>10.81</v>
      </c>
      <c r="N13" s="21">
        <f t="shared" si="3"/>
        <v>72885.994158343048</v>
      </c>
      <c r="O13" s="21">
        <f t="shared" si="4"/>
        <v>28141.428116524567</v>
      </c>
      <c r="Q13" s="23" t="s">
        <v>155</v>
      </c>
      <c r="R13" s="14">
        <v>4.03</v>
      </c>
      <c r="S13" s="21">
        <f t="shared" si="5"/>
        <v>27172.114380954899</v>
      </c>
      <c r="T13" s="21">
        <f t="shared" si="6"/>
        <v>10491.207706715448</v>
      </c>
      <c r="V13" s="23" t="s">
        <v>156</v>
      </c>
      <c r="W13" s="14">
        <v>94.11</v>
      </c>
      <c r="X13" s="21">
        <f>W13*$G$7</f>
        <v>634532.92416666634</v>
      </c>
      <c r="Y13" s="21">
        <f>X13*0.386102</f>
        <v>244994.4310865982</v>
      </c>
      <c r="AA13" s="14" t="s">
        <v>157</v>
      </c>
      <c r="AB13" s="14">
        <v>12.17</v>
      </c>
      <c r="AC13" s="21">
        <f>AB13*$G$7</f>
        <v>82055.739954397301</v>
      </c>
      <c r="AD13" s="21">
        <f>AC13*0.386102</f>
        <v>31681.885307872708</v>
      </c>
    </row>
    <row r="14" spans="1:30" x14ac:dyDescent="0.35">
      <c r="B14" s="23" t="s">
        <v>31</v>
      </c>
      <c r="C14" s="14">
        <v>14.07</v>
      </c>
      <c r="D14" s="21">
        <f t="shared" si="0"/>
        <v>94866.414228296635</v>
      </c>
      <c r="E14" s="21">
        <f t="shared" si="7"/>
        <v>36628.112266373784</v>
      </c>
      <c r="G14" s="23" t="s">
        <v>158</v>
      </c>
      <c r="H14" s="14">
        <v>12.41</v>
      </c>
      <c r="I14" s="21">
        <f t="shared" si="1"/>
        <v>83673.930388995112</v>
      </c>
      <c r="J14" s="21">
        <f t="shared" si="2"/>
        <v>32306.671871051789</v>
      </c>
      <c r="L14" s="23" t="s">
        <v>159</v>
      </c>
      <c r="M14" s="14">
        <v>4.2</v>
      </c>
      <c r="N14" s="21">
        <f t="shared" si="3"/>
        <v>28318.332605461685</v>
      </c>
      <c r="O14" s="21">
        <f t="shared" si="4"/>
        <v>10933.764855633968</v>
      </c>
      <c r="Q14" s="23" t="s">
        <v>160</v>
      </c>
      <c r="R14" s="14">
        <v>4.28</v>
      </c>
      <c r="S14" s="21">
        <f t="shared" si="5"/>
        <v>28857.729416994287</v>
      </c>
      <c r="T14" s="21">
        <f t="shared" si="6"/>
        <v>11142.027043360329</v>
      </c>
      <c r="V14" s="23" t="s">
        <v>161</v>
      </c>
      <c r="W14" s="14">
        <v>1.97</v>
      </c>
      <c r="X14" s="21">
        <f>W14*$G$7</f>
        <v>13282.64648399036</v>
      </c>
      <c r="Y14" s="21">
        <f>X14*0.386102</f>
        <v>5128.456372761646</v>
      </c>
    </row>
    <row r="15" spans="1:30" x14ac:dyDescent="0.35">
      <c r="B15" s="23" t="s">
        <v>32</v>
      </c>
      <c r="C15" s="14">
        <v>24.51</v>
      </c>
      <c r="D15" s="21">
        <f t="shared" si="0"/>
        <v>165257.6981333014</v>
      </c>
      <c r="E15" s="21">
        <f t="shared" si="7"/>
        <v>63806.327764663933</v>
      </c>
      <c r="G15" s="23" t="s">
        <v>162</v>
      </c>
      <c r="H15" s="14">
        <v>47.09</v>
      </c>
      <c r="I15" s="21">
        <f t="shared" si="1"/>
        <v>317502.44818837871</v>
      </c>
      <c r="J15" s="21">
        <f t="shared" si="2"/>
        <v>122588.3302504294</v>
      </c>
      <c r="L15" s="23" t="s">
        <v>163</v>
      </c>
      <c r="M15" s="14">
        <v>3.01</v>
      </c>
      <c r="N15" s="21">
        <f t="shared" si="3"/>
        <v>20294.805033914203</v>
      </c>
      <c r="O15" s="21">
        <f t="shared" si="4"/>
        <v>7835.8648132043418</v>
      </c>
      <c r="Q15" s="23" t="s">
        <v>89</v>
      </c>
      <c r="R15" s="14">
        <v>6.06</v>
      </c>
      <c r="S15" s="21">
        <f t="shared" si="5"/>
        <v>40859.308473594712</v>
      </c>
      <c r="T15" s="21">
        <f t="shared" si="6"/>
        <v>15775.860720271865</v>
      </c>
      <c r="V15" s="23" t="s">
        <v>164</v>
      </c>
      <c r="W15" s="14">
        <v>177.13</v>
      </c>
      <c r="X15" s="21">
        <f>W15*$G$7</f>
        <v>1194291.9653346257</v>
      </c>
      <c r="Y15" s="21">
        <f>X15*0.386102</f>
        <v>461118.51639962965</v>
      </c>
    </row>
    <row r="16" spans="1:30" x14ac:dyDescent="0.35">
      <c r="B16" s="23" t="s">
        <v>33</v>
      </c>
      <c r="C16" s="14">
        <v>20.69</v>
      </c>
      <c r="D16" s="21">
        <f t="shared" si="0"/>
        <v>139501.50038261959</v>
      </c>
      <c r="E16" s="21">
        <f t="shared" si="7"/>
        <v>53861.80830073019</v>
      </c>
      <c r="G16" s="23" t="s">
        <v>165</v>
      </c>
      <c r="H16" s="14">
        <v>17.55</v>
      </c>
      <c r="I16" s="21">
        <f t="shared" si="1"/>
        <v>118330.17552996489</v>
      </c>
      <c r="J16" s="21">
        <f t="shared" si="2"/>
        <v>45687.517432470508</v>
      </c>
      <c r="L16" s="23" t="s">
        <v>166</v>
      </c>
      <c r="M16" s="14">
        <v>5.17</v>
      </c>
      <c r="N16" s="21">
        <f t="shared" si="3"/>
        <v>34858.518945294498</v>
      </c>
      <c r="O16" s="21">
        <f t="shared" si="4"/>
        <v>13458.943881816096</v>
      </c>
      <c r="Q16" s="23" t="s">
        <v>100</v>
      </c>
      <c r="R16" s="14">
        <v>5.76</v>
      </c>
      <c r="S16" s="21">
        <f t="shared" si="5"/>
        <v>38836.570430347449</v>
      </c>
      <c r="T16" s="21">
        <f t="shared" si="6"/>
        <v>14994.877516298011</v>
      </c>
    </row>
    <row r="17" spans="2:20" x14ac:dyDescent="0.35">
      <c r="B17" s="23" t="s">
        <v>167</v>
      </c>
      <c r="C17" s="14">
        <v>30.83</v>
      </c>
      <c r="D17" s="21">
        <f t="shared" si="0"/>
        <v>207870.04624437704</v>
      </c>
      <c r="E17" s="21">
        <f t="shared" si="7"/>
        <v>80259.040595046463</v>
      </c>
      <c r="G17" s="23" t="s">
        <v>168</v>
      </c>
      <c r="H17" s="14">
        <v>12.43</v>
      </c>
      <c r="I17" s="21">
        <f t="shared" si="1"/>
        <v>83808.779591878265</v>
      </c>
      <c r="J17" s="21">
        <f t="shared" si="2"/>
        <v>32358.737417983382</v>
      </c>
      <c r="L17" s="23" t="s">
        <v>169</v>
      </c>
      <c r="M17" s="14">
        <v>5.07</v>
      </c>
      <c r="N17" s="21">
        <f t="shared" si="3"/>
        <v>34184.272930878746</v>
      </c>
      <c r="O17" s="21">
        <f t="shared" si="4"/>
        <v>13198.616147158145</v>
      </c>
      <c r="Q17" s="23" t="s">
        <v>170</v>
      </c>
      <c r="R17" s="14">
        <v>87.38</v>
      </c>
      <c r="S17" s="21">
        <f t="shared" si="5"/>
        <v>589156.16739648615</v>
      </c>
      <c r="T17" s="21">
        <f t="shared" si="6"/>
        <v>227474.37454411809</v>
      </c>
    </row>
    <row r="18" spans="2:20" x14ac:dyDescent="0.35">
      <c r="B18" s="23" t="s">
        <v>35</v>
      </c>
      <c r="C18" s="14">
        <v>8.77</v>
      </c>
      <c r="D18" s="21">
        <f t="shared" si="0"/>
        <v>59131.375464261655</v>
      </c>
      <c r="E18" s="21">
        <f t="shared" si="7"/>
        <v>22830.742329502355</v>
      </c>
      <c r="G18" s="23" t="s">
        <v>117</v>
      </c>
      <c r="H18" s="14">
        <v>8.94</v>
      </c>
      <c r="I18" s="21">
        <f t="shared" si="1"/>
        <v>60277.593688768437</v>
      </c>
      <c r="J18" s="21">
        <f t="shared" si="2"/>
        <v>23273.299478420871</v>
      </c>
      <c r="L18" s="23" t="s">
        <v>171</v>
      </c>
      <c r="M18" s="14">
        <v>11.98</v>
      </c>
      <c r="N18" s="21">
        <f t="shared" si="3"/>
        <v>80774.672527007366</v>
      </c>
      <c r="O18" s="21">
        <f t="shared" si="4"/>
        <v>31187.262612022598</v>
      </c>
      <c r="Q18" s="23" t="s">
        <v>101</v>
      </c>
      <c r="R18" s="14">
        <v>65.010000000000005</v>
      </c>
      <c r="S18" s="21">
        <f t="shared" si="5"/>
        <v>438327.33397168195</v>
      </c>
      <c r="T18" s="21">
        <f t="shared" si="6"/>
        <v>169239.06030113433</v>
      </c>
    </row>
    <row r="19" spans="2:20" x14ac:dyDescent="0.35">
      <c r="B19" s="23" t="s">
        <v>172</v>
      </c>
      <c r="C19" s="14">
        <v>3.11</v>
      </c>
      <c r="D19" s="21">
        <f t="shared" si="0"/>
        <v>20969.051048329959</v>
      </c>
      <c r="E19" s="21">
        <f t="shared" si="7"/>
        <v>8096.1925478622934</v>
      </c>
      <c r="G19" s="23" t="s">
        <v>173</v>
      </c>
      <c r="H19" s="14">
        <v>32.58</v>
      </c>
      <c r="I19" s="21">
        <f t="shared" si="1"/>
        <v>219669.35149665276</v>
      </c>
      <c r="J19" s="21">
        <f t="shared" si="2"/>
        <v>84814.77595156063</v>
      </c>
      <c r="Q19" s="23" t="s">
        <v>90</v>
      </c>
      <c r="R19" s="14">
        <v>12.46</v>
      </c>
      <c r="S19" s="21">
        <f t="shared" si="5"/>
        <v>84011.053396202988</v>
      </c>
      <c r="T19" s="21">
        <f t="shared" si="6"/>
        <v>32436.835738380767</v>
      </c>
    </row>
    <row r="20" spans="2:20" x14ac:dyDescent="0.35">
      <c r="B20" s="23" t="s">
        <v>174</v>
      </c>
      <c r="C20" s="14">
        <v>1.88</v>
      </c>
      <c r="D20" s="21">
        <f t="shared" si="0"/>
        <v>12675.825071016181</v>
      </c>
      <c r="E20" s="21">
        <f t="shared" si="7"/>
        <v>4894.1614115694892</v>
      </c>
      <c r="G20" s="23" t="s">
        <v>175</v>
      </c>
      <c r="H20" s="14">
        <v>10.77</v>
      </c>
      <c r="I20" s="21">
        <f t="shared" si="1"/>
        <v>72616.295752576742</v>
      </c>
      <c r="J20" s="21">
        <f t="shared" si="2"/>
        <v>28037.297022661383</v>
      </c>
      <c r="Q20" s="23" t="s">
        <v>102</v>
      </c>
      <c r="R20" s="14">
        <v>5.13</v>
      </c>
      <c r="S20" s="21">
        <f t="shared" si="5"/>
        <v>34588.820539528198</v>
      </c>
      <c r="T20" s="21">
        <f t="shared" si="6"/>
        <v>13354.812787952917</v>
      </c>
    </row>
    <row r="21" spans="2:20" x14ac:dyDescent="0.35">
      <c r="B21" s="23" t="s">
        <v>37</v>
      </c>
      <c r="C21" s="14">
        <v>24.03</v>
      </c>
      <c r="D21" s="21">
        <f t="shared" si="0"/>
        <v>162021.31726410578</v>
      </c>
      <c r="E21" s="21">
        <f t="shared" si="7"/>
        <v>62556.754638305771</v>
      </c>
      <c r="G21" s="23" t="s">
        <v>176</v>
      </c>
      <c r="H21" s="14">
        <v>14.99</v>
      </c>
      <c r="I21" s="21">
        <f t="shared" si="1"/>
        <v>101069.47756092157</v>
      </c>
      <c r="J21" s="21">
        <f t="shared" si="2"/>
        <v>39023.127425226943</v>
      </c>
      <c r="Q21" s="23" t="s">
        <v>91</v>
      </c>
      <c r="R21" s="14">
        <v>8.9</v>
      </c>
      <c r="S21" s="21">
        <f t="shared" si="5"/>
        <v>60007.895283002137</v>
      </c>
      <c r="T21" s="21">
        <f t="shared" si="6"/>
        <v>23169.168384557692</v>
      </c>
    </row>
    <row r="22" spans="2:20" x14ac:dyDescent="0.35">
      <c r="B22" s="23" t="s">
        <v>38</v>
      </c>
      <c r="C22" s="14">
        <v>25.98</v>
      </c>
      <c r="D22" s="21">
        <f t="shared" si="0"/>
        <v>175169.11454521297</v>
      </c>
      <c r="E22" s="21">
        <f t="shared" si="7"/>
        <v>67633.145464135814</v>
      </c>
      <c r="G22" s="23" t="s">
        <v>85</v>
      </c>
      <c r="H22" s="14">
        <v>7.94</v>
      </c>
      <c r="I22" s="21">
        <f t="shared" si="1"/>
        <v>53535.133544610893</v>
      </c>
      <c r="J22" s="21">
        <f t="shared" si="2"/>
        <v>20670.022131841357</v>
      </c>
      <c r="Q22" s="23" t="s">
        <v>103</v>
      </c>
      <c r="R22" s="14">
        <v>34.92</v>
      </c>
      <c r="S22" s="21">
        <f t="shared" si="5"/>
        <v>235446.70823398142</v>
      </c>
      <c r="T22" s="21">
        <f t="shared" si="6"/>
        <v>90906.4449425567</v>
      </c>
    </row>
    <row r="23" spans="2:20" x14ac:dyDescent="0.35">
      <c r="B23" s="23" t="s">
        <v>39</v>
      </c>
      <c r="C23" s="14">
        <v>78.099999999999994</v>
      </c>
      <c r="D23" s="21">
        <f t="shared" si="0"/>
        <v>526586.13725870405</v>
      </c>
      <c r="E23" s="21">
        <f t="shared" si="7"/>
        <v>203315.96076786015</v>
      </c>
      <c r="G23" s="23" t="s">
        <v>177</v>
      </c>
      <c r="H23" s="14">
        <v>15.44</v>
      </c>
      <c r="I23" s="21">
        <f t="shared" si="1"/>
        <v>104103.58462579247</v>
      </c>
      <c r="J23" s="21">
        <f t="shared" si="2"/>
        <v>40194.602231187724</v>
      </c>
      <c r="Q23" s="23" t="s">
        <v>178</v>
      </c>
      <c r="R23" s="14">
        <v>4.92</v>
      </c>
      <c r="S23" s="21">
        <f t="shared" si="5"/>
        <v>33172.90390925511</v>
      </c>
      <c r="T23" s="21">
        <f t="shared" si="6"/>
        <v>12808.124545171217</v>
      </c>
    </row>
    <row r="24" spans="2:20" x14ac:dyDescent="0.35">
      <c r="B24" s="23" t="s">
        <v>40</v>
      </c>
      <c r="C24" s="14">
        <v>12.16</v>
      </c>
      <c r="D24" s="21">
        <f t="shared" si="0"/>
        <v>81988.315352955731</v>
      </c>
      <c r="E24" s="21">
        <f t="shared" si="7"/>
        <v>31655.852534406913</v>
      </c>
      <c r="G24" s="23" t="s">
        <v>179</v>
      </c>
      <c r="H24" s="14">
        <v>6.56</v>
      </c>
      <c r="I24" s="21">
        <f t="shared" si="1"/>
        <v>44230.53854567348</v>
      </c>
      <c r="J24" s="21">
        <f t="shared" si="2"/>
        <v>17077.499393561622</v>
      </c>
      <c r="Q24" s="23" t="s">
        <v>104</v>
      </c>
      <c r="R24" s="14">
        <v>70.790000000000006</v>
      </c>
      <c r="S24" s="21">
        <f t="shared" si="5"/>
        <v>477298.75360491255</v>
      </c>
      <c r="T24" s="21">
        <f t="shared" si="6"/>
        <v>184286.00336436395</v>
      </c>
    </row>
    <row r="25" spans="2:20" x14ac:dyDescent="0.35">
      <c r="B25" s="23" t="s">
        <v>41</v>
      </c>
      <c r="C25" s="14">
        <v>16.43</v>
      </c>
      <c r="D25" s="21">
        <f t="shared" si="0"/>
        <v>110778.62016850844</v>
      </c>
      <c r="E25" s="21">
        <f t="shared" si="7"/>
        <v>42771.846804301444</v>
      </c>
      <c r="G25" s="23" t="s">
        <v>180</v>
      </c>
      <c r="H25" s="14">
        <v>9.27</v>
      </c>
      <c r="I25" s="21">
        <f t="shared" si="1"/>
        <v>62502.605536340423</v>
      </c>
      <c r="J25" s="21">
        <f t="shared" si="2"/>
        <v>24132.38100279211</v>
      </c>
      <c r="Q25" s="23" t="s">
        <v>93</v>
      </c>
      <c r="R25" s="14">
        <v>10.69</v>
      </c>
      <c r="S25" s="21">
        <f t="shared" si="5"/>
        <v>72076.898941044128</v>
      </c>
      <c r="T25" s="21">
        <f t="shared" si="6"/>
        <v>27829.034834935021</v>
      </c>
    </row>
    <row r="26" spans="2:20" x14ac:dyDescent="0.35">
      <c r="B26" s="23" t="s">
        <v>181</v>
      </c>
      <c r="C26" s="14">
        <v>5.54</v>
      </c>
      <c r="D26" s="21">
        <f t="shared" si="0"/>
        <v>37353.229198632791</v>
      </c>
      <c r="E26" s="21">
        <f t="shared" si="7"/>
        <v>14422.156500050518</v>
      </c>
      <c r="G26" s="23" t="s">
        <v>182</v>
      </c>
      <c r="H26" s="14">
        <v>2.99</v>
      </c>
      <c r="I26" s="21">
        <f t="shared" si="1"/>
        <v>20159.955831031057</v>
      </c>
      <c r="J26" s="21">
        <f t="shared" si="2"/>
        <v>7783.7992662727529</v>
      </c>
      <c r="Q26" s="23" t="s">
        <v>94</v>
      </c>
      <c r="R26" s="14">
        <v>2.93</v>
      </c>
      <c r="S26" s="21">
        <f t="shared" si="5"/>
        <v>19755.408222381604</v>
      </c>
      <c r="T26" s="21">
        <f t="shared" si="6"/>
        <v>7627.6026254779817</v>
      </c>
    </row>
    <row r="27" spans="2:20" x14ac:dyDescent="0.35">
      <c r="B27" s="23" t="s">
        <v>183</v>
      </c>
      <c r="C27" s="14">
        <v>1.54</v>
      </c>
      <c r="D27" s="21">
        <f t="shared" si="0"/>
        <v>10383.388622002616</v>
      </c>
      <c r="E27" s="21">
        <f t="shared" si="7"/>
        <v>4009.0471137324539</v>
      </c>
      <c r="G27" s="23" t="s">
        <v>184</v>
      </c>
      <c r="H27" s="14">
        <v>5.83</v>
      </c>
      <c r="I27" s="21">
        <f t="shared" si="1"/>
        <v>39308.542640438478</v>
      </c>
      <c r="J27" s="21">
        <f t="shared" si="2"/>
        <v>15177.106930558577</v>
      </c>
      <c r="Q27" s="23" t="s">
        <v>185</v>
      </c>
      <c r="R27" s="14">
        <v>7.45</v>
      </c>
      <c r="S27" s="21">
        <f t="shared" si="5"/>
        <v>50231.328073973702</v>
      </c>
      <c r="T27" s="21">
        <f t="shared" si="6"/>
        <v>19394.416232017393</v>
      </c>
    </row>
    <row r="28" spans="2:20" x14ac:dyDescent="0.35">
      <c r="B28" s="23" t="s">
        <v>186</v>
      </c>
      <c r="C28" s="14">
        <v>24.46</v>
      </c>
      <c r="D28" s="21">
        <f t="shared" si="0"/>
        <v>164920.57512609352</v>
      </c>
      <c r="E28" s="21">
        <f t="shared" si="7"/>
        <v>63676.163897334962</v>
      </c>
      <c r="G28" s="23" t="s">
        <v>187</v>
      </c>
      <c r="H28" s="14">
        <v>4.05</v>
      </c>
      <c r="I28" s="21">
        <f t="shared" si="1"/>
        <v>27306.963583838049</v>
      </c>
      <c r="J28" s="21">
        <f t="shared" si="2"/>
        <v>10543.273253647038</v>
      </c>
      <c r="Q28" s="23" t="s">
        <v>95</v>
      </c>
      <c r="R28" s="14">
        <v>9.91</v>
      </c>
      <c r="S28" s="21">
        <f t="shared" si="5"/>
        <v>66817.78002860125</v>
      </c>
      <c r="T28" s="21">
        <f t="shared" si="6"/>
        <v>25798.478504603001</v>
      </c>
    </row>
    <row r="29" spans="2:20" x14ac:dyDescent="0.35">
      <c r="B29" s="23" t="s">
        <v>188</v>
      </c>
      <c r="C29" s="14">
        <v>9.92</v>
      </c>
      <c r="D29" s="21">
        <f t="shared" si="0"/>
        <v>66885.204630042834</v>
      </c>
      <c r="E29" s="21">
        <f t="shared" si="7"/>
        <v>25824.5112780688</v>
      </c>
      <c r="G29" s="23" t="s">
        <v>189</v>
      </c>
      <c r="H29" s="14">
        <v>3.95</v>
      </c>
      <c r="I29" s="21">
        <f t="shared" si="1"/>
        <v>26632.717569422297</v>
      </c>
      <c r="J29" s="21">
        <f t="shared" si="2"/>
        <v>10282.945518989087</v>
      </c>
      <c r="Q29" s="23" t="s">
        <v>105</v>
      </c>
      <c r="R29" s="14">
        <v>13.02</v>
      </c>
      <c r="S29" s="21">
        <f t="shared" si="5"/>
        <v>87786.831076931208</v>
      </c>
      <c r="T29" s="21">
        <f t="shared" si="6"/>
        <v>33894.671052465295</v>
      </c>
    </row>
    <row r="30" spans="2:20" x14ac:dyDescent="0.35">
      <c r="B30" s="23" t="s">
        <v>44</v>
      </c>
      <c r="C30" s="14">
        <f>43.8-8.42</f>
        <v>35.379999999999995</v>
      </c>
      <c r="D30" s="21">
        <f t="shared" si="0"/>
        <v>238548.23990029385</v>
      </c>
      <c r="E30" s="21">
        <f t="shared" si="7"/>
        <v>92103.952521983258</v>
      </c>
      <c r="G30" s="23" t="s">
        <v>190</v>
      </c>
      <c r="H30" s="14">
        <v>15.26</v>
      </c>
      <c r="I30" s="21">
        <f t="shared" si="1"/>
        <v>102889.94179984411</v>
      </c>
      <c r="J30" s="21">
        <f t="shared" si="2"/>
        <v>39726.012308803409</v>
      </c>
      <c r="Q30" s="23" t="s">
        <v>96</v>
      </c>
      <c r="R30" s="14">
        <v>5.76</v>
      </c>
      <c r="S30" s="21">
        <f t="shared" si="5"/>
        <v>38836.570430347449</v>
      </c>
      <c r="T30" s="21">
        <f t="shared" si="6"/>
        <v>14994.877516298011</v>
      </c>
    </row>
    <row r="31" spans="2:20" x14ac:dyDescent="0.35">
      <c r="B31" s="23" t="s">
        <v>191</v>
      </c>
      <c r="C31" s="14">
        <v>6.3</v>
      </c>
      <c r="D31" s="21">
        <f t="shared" si="0"/>
        <v>42477.498908192523</v>
      </c>
      <c r="E31" s="21">
        <f t="shared" si="7"/>
        <v>16400.647283450951</v>
      </c>
      <c r="G31" s="23" t="s">
        <v>192</v>
      </c>
      <c r="H31" s="14">
        <v>13.04</v>
      </c>
      <c r="I31" s="21">
        <f t="shared" si="1"/>
        <v>87921.680279814362</v>
      </c>
      <c r="J31" s="21">
        <f t="shared" si="2"/>
        <v>33946.736599396885</v>
      </c>
      <c r="Q31" s="23" t="s">
        <v>193</v>
      </c>
      <c r="R31" s="14">
        <v>7.92</v>
      </c>
      <c r="S31" s="21">
        <f t="shared" si="5"/>
        <v>53400.28434172774</v>
      </c>
      <c r="T31" s="21">
        <f t="shared" si="6"/>
        <v>20617.956584909763</v>
      </c>
    </row>
    <row r="32" spans="2:20" x14ac:dyDescent="0.35">
      <c r="B32" s="23" t="s">
        <v>45</v>
      </c>
      <c r="C32" s="14">
        <v>0.84</v>
      </c>
      <c r="D32" s="21">
        <f t="shared" si="0"/>
        <v>5663.6665210923366</v>
      </c>
      <c r="E32" s="21">
        <f t="shared" si="7"/>
        <v>2186.7529711267935</v>
      </c>
      <c r="G32" s="23" t="s">
        <v>194</v>
      </c>
      <c r="H32" s="14">
        <v>8.42</v>
      </c>
      <c r="I32" s="21">
        <f t="shared" si="1"/>
        <v>56771.514413806515</v>
      </c>
      <c r="J32" s="21">
        <f t="shared" si="2"/>
        <v>21919.595258199523</v>
      </c>
      <c r="Q32" s="23" t="s">
        <v>97</v>
      </c>
      <c r="R32" s="14">
        <v>5.82</v>
      </c>
      <c r="S32" s="21">
        <f t="shared" si="5"/>
        <v>39241.118038996901</v>
      </c>
      <c r="T32" s="21">
        <f t="shared" si="6"/>
        <v>15151.074157092782</v>
      </c>
    </row>
    <row r="33" spans="2:20" x14ac:dyDescent="0.35">
      <c r="B33" s="23" t="s">
        <v>195</v>
      </c>
      <c r="C33" s="14">
        <v>43.24</v>
      </c>
      <c r="D33" s="21">
        <f t="shared" si="0"/>
        <v>291543.97663337219</v>
      </c>
      <c r="E33" s="21">
        <f t="shared" si="7"/>
        <v>112565.71246609827</v>
      </c>
      <c r="G33" s="23" t="s">
        <v>196</v>
      </c>
      <c r="H33" s="14">
        <v>3.08</v>
      </c>
      <c r="I33" s="21">
        <f t="shared" si="1"/>
        <v>20766.777244005232</v>
      </c>
      <c r="J33" s="21">
        <f t="shared" si="2"/>
        <v>8018.0942274649078</v>
      </c>
      <c r="Q33" s="23" t="s">
        <v>106</v>
      </c>
      <c r="R33" s="14">
        <v>25.79</v>
      </c>
      <c r="S33" s="21">
        <f t="shared" si="5"/>
        <v>173888.04711782304</v>
      </c>
      <c r="T33" s="21">
        <f t="shared" si="6"/>
        <v>67138.522768285708</v>
      </c>
    </row>
    <row r="34" spans="2:20" x14ac:dyDescent="0.35">
      <c r="B34" s="23" t="s">
        <v>47</v>
      </c>
      <c r="C34" s="14">
        <v>49.91</v>
      </c>
      <c r="D34" s="21">
        <f t="shared" si="0"/>
        <v>336516.18579490297</v>
      </c>
      <c r="E34" s="21">
        <f t="shared" si="7"/>
        <v>129929.57236778362</v>
      </c>
      <c r="G34" s="23" t="s">
        <v>197</v>
      </c>
      <c r="H34" s="14">
        <v>3.57</v>
      </c>
      <c r="I34" s="21">
        <f t="shared" si="1"/>
        <v>24070.582714642427</v>
      </c>
      <c r="J34" s="21">
        <f t="shared" si="2"/>
        <v>9293.7001272888701</v>
      </c>
      <c r="Q34" s="23" t="s">
        <v>198</v>
      </c>
      <c r="R34" s="14">
        <v>4.37</v>
      </c>
      <c r="S34" s="21">
        <f t="shared" si="5"/>
        <v>29464.550829968466</v>
      </c>
      <c r="T34" s="21">
        <f t="shared" si="6"/>
        <v>11376.322004552485</v>
      </c>
    </row>
    <row r="35" spans="2:20" x14ac:dyDescent="0.35">
      <c r="B35" s="23" t="s">
        <v>48</v>
      </c>
      <c r="C35" s="14">
        <v>15.74</v>
      </c>
      <c r="D35" s="21">
        <f t="shared" si="0"/>
        <v>106126.32266903973</v>
      </c>
      <c r="E35" s="21">
        <f t="shared" si="7"/>
        <v>40975.585435161578</v>
      </c>
      <c r="G35" s="23" t="s">
        <v>199</v>
      </c>
      <c r="H35" s="14">
        <v>8.9700000000000006</v>
      </c>
      <c r="I35" s="21">
        <f t="shared" si="1"/>
        <v>60479.867493093167</v>
      </c>
      <c r="J35" s="21">
        <f t="shared" si="2"/>
        <v>23351.39779881826</v>
      </c>
      <c r="Q35" s="23" t="s">
        <v>107</v>
      </c>
      <c r="R35" s="14">
        <v>34.39</v>
      </c>
      <c r="S35" s="21">
        <f t="shared" si="5"/>
        <v>231873.20435757792</v>
      </c>
      <c r="T35" s="21">
        <f t="shared" si="6"/>
        <v>89526.707948869545</v>
      </c>
    </row>
    <row r="36" spans="2:20" x14ac:dyDescent="0.35">
      <c r="B36" s="23" t="s">
        <v>49</v>
      </c>
      <c r="C36" s="14">
        <f>3.42+3.16</f>
        <v>6.58</v>
      </c>
      <c r="D36" s="21">
        <f t="shared" si="0"/>
        <v>44365.387748556634</v>
      </c>
      <c r="E36" s="21">
        <f t="shared" si="7"/>
        <v>17129.564940493212</v>
      </c>
      <c r="G36" s="23" t="s">
        <v>200</v>
      </c>
      <c r="H36" s="14">
        <v>5.57</v>
      </c>
      <c r="I36" s="21">
        <f t="shared" si="1"/>
        <v>37555.503002957521</v>
      </c>
      <c r="J36" s="21">
        <f t="shared" si="2"/>
        <v>14500.254820447904</v>
      </c>
      <c r="Q36" s="23" t="s">
        <v>201</v>
      </c>
      <c r="R36" s="14">
        <v>4.18</v>
      </c>
      <c r="S36" s="21">
        <f t="shared" si="5"/>
        <v>28183.483402578528</v>
      </c>
      <c r="T36" s="21">
        <f t="shared" si="6"/>
        <v>10881.699308702375</v>
      </c>
    </row>
    <row r="37" spans="2:20" x14ac:dyDescent="0.35">
      <c r="B37" s="23" t="s">
        <v>50</v>
      </c>
      <c r="C37" s="14">
        <f>0.57+3.42+3.69+4.42</f>
        <v>12.1</v>
      </c>
      <c r="D37" s="21">
        <f t="shared" si="0"/>
        <v>81583.767744306271</v>
      </c>
      <c r="E37" s="21">
        <f t="shared" si="7"/>
        <v>31499.65589361214</v>
      </c>
      <c r="G37" s="23" t="s">
        <v>202</v>
      </c>
      <c r="H37" s="14">
        <v>8.2100000000000009</v>
      </c>
      <c r="I37" s="21">
        <f t="shared" si="1"/>
        <v>55355.597783533434</v>
      </c>
      <c r="J37" s="21">
        <f t="shared" si="2"/>
        <v>21372.907015417826</v>
      </c>
      <c r="Q37" s="23" t="s">
        <v>203</v>
      </c>
      <c r="R37" s="14">
        <v>5.6</v>
      </c>
      <c r="S37" s="21">
        <f t="shared" si="5"/>
        <v>37757.776807282236</v>
      </c>
      <c r="T37" s="21">
        <f t="shared" si="6"/>
        <v>14578.353140845285</v>
      </c>
    </row>
    <row r="38" spans="2:20" x14ac:dyDescent="0.35">
      <c r="B38" s="23" t="s">
        <v>51</v>
      </c>
      <c r="C38" s="14">
        <v>90.61</v>
      </c>
      <c r="D38" s="21">
        <f t="shared" si="0"/>
        <v>610934.31366211502</v>
      </c>
      <c r="E38" s="21">
        <f t="shared" si="7"/>
        <v>235882.96037356992</v>
      </c>
      <c r="G38" s="23" t="s">
        <v>204</v>
      </c>
      <c r="H38" s="14">
        <v>11.84</v>
      </c>
      <c r="I38" s="21">
        <f t="shared" si="1"/>
        <v>79830.728106825307</v>
      </c>
      <c r="J38" s="21">
        <f t="shared" si="2"/>
        <v>30822.803783501466</v>
      </c>
      <c r="Q38" s="23" t="s">
        <v>205</v>
      </c>
      <c r="R38" s="14">
        <v>4.91</v>
      </c>
      <c r="S38" s="21">
        <f t="shared" si="5"/>
        <v>33105.479307813541</v>
      </c>
      <c r="T38" s="21">
        <f t="shared" si="6"/>
        <v>12782.091771705424</v>
      </c>
    </row>
    <row r="39" spans="2:20" x14ac:dyDescent="0.35">
      <c r="B39" s="23" t="s">
        <v>206</v>
      </c>
      <c r="C39" s="14">
        <v>95.14</v>
      </c>
      <c r="D39" s="21">
        <f t="shared" si="0"/>
        <v>641477.65811514866</v>
      </c>
      <c r="E39" s="21">
        <f t="shared" si="7"/>
        <v>247675.80675357513</v>
      </c>
      <c r="G39" s="23" t="s">
        <v>207</v>
      </c>
      <c r="H39" s="14">
        <v>5</v>
      </c>
      <c r="I39" s="21">
        <f t="shared" si="1"/>
        <v>33712.300720787716</v>
      </c>
      <c r="J39" s="21">
        <f t="shared" si="2"/>
        <v>13016.386732897579</v>
      </c>
      <c r="Q39" s="23" t="s">
        <v>208</v>
      </c>
      <c r="R39" s="14">
        <v>40.57</v>
      </c>
      <c r="S39" s="21">
        <f t="shared" si="5"/>
        <v>273541.60804847151</v>
      </c>
      <c r="T39" s="21">
        <f t="shared" si="6"/>
        <v>105614.96195073094</v>
      </c>
    </row>
    <row r="40" spans="2:20" x14ac:dyDescent="0.35">
      <c r="B40" s="23" t="s">
        <v>53</v>
      </c>
      <c r="C40" s="14">
        <v>4.59</v>
      </c>
      <c r="D40" s="21">
        <f t="shared" si="0"/>
        <v>30947.892061683124</v>
      </c>
      <c r="E40" s="21">
        <f t="shared" si="7"/>
        <v>11949.043020799978</v>
      </c>
      <c r="G40" s="23" t="s">
        <v>209</v>
      </c>
      <c r="H40" s="14">
        <v>43.93</v>
      </c>
      <c r="I40" s="21">
        <f t="shared" si="1"/>
        <v>296196.27413284086</v>
      </c>
      <c r="J40" s="21">
        <f t="shared" si="2"/>
        <v>114361.97383523812</v>
      </c>
      <c r="Q40" s="23" t="s">
        <v>210</v>
      </c>
      <c r="R40" s="14">
        <v>2.42</v>
      </c>
      <c r="S40" s="21">
        <f t="shared" si="5"/>
        <v>16316.753548861254</v>
      </c>
      <c r="T40" s="21">
        <f t="shared" si="6"/>
        <v>6299.9311787224278</v>
      </c>
    </row>
    <row r="41" spans="2:20" x14ac:dyDescent="0.35">
      <c r="B41" s="23" t="s">
        <v>54</v>
      </c>
      <c r="C41" s="14">
        <v>31.16</v>
      </c>
      <c r="D41" s="21">
        <f t="shared" si="0"/>
        <v>210095.05809194906</v>
      </c>
      <c r="E41" s="21">
        <f t="shared" si="7"/>
        <v>81118.12211941772</v>
      </c>
      <c r="Q41" s="23" t="s">
        <v>211</v>
      </c>
      <c r="R41" s="14">
        <v>1.36</v>
      </c>
      <c r="S41" s="21">
        <f t="shared" si="5"/>
        <v>9169.7457960542597</v>
      </c>
      <c r="T41" s="21">
        <f t="shared" si="6"/>
        <v>3540.4571913481418</v>
      </c>
    </row>
    <row r="42" spans="2:20" x14ac:dyDescent="0.35">
      <c r="B42" s="23" t="s">
        <v>55</v>
      </c>
      <c r="C42" s="14">
        <v>123.63</v>
      </c>
      <c r="D42" s="21">
        <f t="shared" si="0"/>
        <v>833570.347622197</v>
      </c>
      <c r="E42" s="21">
        <f t="shared" si="7"/>
        <v>321843.1783576255</v>
      </c>
      <c r="G42" s="24" t="s">
        <v>212</v>
      </c>
      <c r="Q42" s="23" t="s">
        <v>213</v>
      </c>
      <c r="R42" s="14">
        <f>3.33+14.06</f>
        <v>17.39</v>
      </c>
      <c r="S42" s="21">
        <f>R42*$G$7</f>
        <v>117251.38190689968</v>
      </c>
      <c r="T42" s="21">
        <f>S42*0.386102</f>
        <v>45270.993057017782</v>
      </c>
    </row>
    <row r="43" spans="2:20" x14ac:dyDescent="0.35">
      <c r="B43" s="23" t="s">
        <v>56</v>
      </c>
      <c r="C43" s="14">
        <v>17.54</v>
      </c>
      <c r="D43" s="21">
        <f t="shared" si="0"/>
        <v>118262.75092852331</v>
      </c>
      <c r="E43" s="21">
        <f t="shared" si="7"/>
        <v>45661.484659004709</v>
      </c>
      <c r="Q43" s="23" t="s">
        <v>214</v>
      </c>
      <c r="R43" s="14">
        <v>9.9499999999999993</v>
      </c>
      <c r="S43" s="21">
        <f>R43*$G$7</f>
        <v>67087.478434367556</v>
      </c>
      <c r="T43" s="21">
        <f>S43*0.386102</f>
        <v>25902.609598466181</v>
      </c>
    </row>
    <row r="44" spans="2:20" x14ac:dyDescent="0.35">
      <c r="B44" s="23" t="s">
        <v>215</v>
      </c>
      <c r="C44" s="14">
        <v>21.06</v>
      </c>
      <c r="D44" s="21">
        <f t="shared" si="0"/>
        <v>141996.21063595786</v>
      </c>
      <c r="E44" s="21">
        <f t="shared" si="7"/>
        <v>54825.020918964605</v>
      </c>
      <c r="Q44" s="23" t="s">
        <v>216</v>
      </c>
      <c r="R44" s="14">
        <v>76.67</v>
      </c>
      <c r="S44" s="21">
        <f>R44*$G$7</f>
        <v>516944.41925255884</v>
      </c>
      <c r="T44" s="21">
        <f>S44*0.386102</f>
        <v>199593.27416225147</v>
      </c>
    </row>
    <row r="45" spans="2:20" x14ac:dyDescent="0.35">
      <c r="B45" s="23" t="s">
        <v>58</v>
      </c>
      <c r="C45" s="14">
        <v>6.15</v>
      </c>
      <c r="D45" s="21">
        <f t="shared" si="0"/>
        <v>41466.129886568895</v>
      </c>
      <c r="E45" s="21">
        <f t="shared" si="7"/>
        <v>16010.155681464024</v>
      </c>
      <c r="Q45" s="23" t="s">
        <v>217</v>
      </c>
      <c r="R45" s="14">
        <v>2.93</v>
      </c>
      <c r="S45" s="21">
        <f>R45*$G$7</f>
        <v>19755.408222381604</v>
      </c>
      <c r="T45" s="21">
        <f>S45*0.386102</f>
        <v>7627.6026254779817</v>
      </c>
    </row>
    <row r="46" spans="2:20" x14ac:dyDescent="0.35">
      <c r="B46" s="23" t="s">
        <v>59</v>
      </c>
      <c r="C46" s="14">
        <v>11.07</v>
      </c>
      <c r="D46" s="21">
        <f t="shared" si="0"/>
        <v>74639.033795824012</v>
      </c>
      <c r="E46" s="21">
        <f t="shared" si="7"/>
        <v>28818.280226635245</v>
      </c>
    </row>
    <row r="47" spans="2:20" x14ac:dyDescent="0.35">
      <c r="B47" s="23" t="s">
        <v>60</v>
      </c>
      <c r="C47" s="14">
        <v>28.28</v>
      </c>
      <c r="D47" s="21">
        <f t="shared" si="0"/>
        <v>190676.77287677533</v>
      </c>
      <c r="E47" s="21">
        <f t="shared" si="7"/>
        <v>73620.683361268704</v>
      </c>
    </row>
    <row r="48" spans="2:20" x14ac:dyDescent="0.35">
      <c r="B48" s="23" t="s">
        <v>62</v>
      </c>
      <c r="C48" s="14">
        <f>1.9+0.8+1.56+0.4</f>
        <v>4.66</v>
      </c>
      <c r="D48" s="21">
        <f t="shared" si="0"/>
        <v>31419.864271774153</v>
      </c>
      <c r="E48" s="21">
        <f t="shared" si="7"/>
        <v>12131.272435060544</v>
      </c>
    </row>
    <row r="49" spans="2:16" x14ac:dyDescent="0.35">
      <c r="B49" s="23" t="s">
        <v>63</v>
      </c>
      <c r="C49" s="14">
        <v>20.13</v>
      </c>
      <c r="D49" s="21">
        <f t="shared" si="0"/>
        <v>135725.72270189133</v>
      </c>
      <c r="E49" s="21">
        <f t="shared" si="7"/>
        <v>52403.972986645647</v>
      </c>
    </row>
    <row r="50" spans="2:16" x14ac:dyDescent="0.35">
      <c r="B50" s="23" t="s">
        <v>218</v>
      </c>
      <c r="C50" s="14">
        <v>19.96</v>
      </c>
      <c r="D50" s="21">
        <f t="shared" si="0"/>
        <v>134579.50447738456</v>
      </c>
      <c r="E50" s="21">
        <f t="shared" si="7"/>
        <v>51961.415837727131</v>
      </c>
    </row>
    <row r="51" spans="2:16" x14ac:dyDescent="0.35">
      <c r="B51" s="23" t="s">
        <v>64</v>
      </c>
      <c r="C51" s="14">
        <v>20.73</v>
      </c>
      <c r="D51" s="21">
        <f t="shared" si="0"/>
        <v>139771.19878838587</v>
      </c>
      <c r="E51" s="21">
        <f t="shared" si="7"/>
        <v>53965.939394593363</v>
      </c>
    </row>
    <row r="52" spans="2:16" x14ac:dyDescent="0.35">
      <c r="B52" s="23" t="s">
        <v>65</v>
      </c>
      <c r="C52" s="14">
        <v>31.34</v>
      </c>
      <c r="D52" s="21">
        <f t="shared" si="0"/>
        <v>211308.7009178974</v>
      </c>
      <c r="E52" s="21">
        <f t="shared" si="7"/>
        <v>81586.71204180202</v>
      </c>
    </row>
    <row r="53" spans="2:16" x14ac:dyDescent="0.35">
      <c r="B53" s="23" t="s">
        <v>66</v>
      </c>
      <c r="C53" s="14">
        <v>17.52</v>
      </c>
      <c r="D53" s="21">
        <f t="shared" si="0"/>
        <v>118127.90172564016</v>
      </c>
      <c r="E53" s="21">
        <f t="shared" si="7"/>
        <v>45609.419112073119</v>
      </c>
    </row>
    <row r="54" spans="2:16" x14ac:dyDescent="0.35">
      <c r="B54" s="23" t="s">
        <v>67</v>
      </c>
      <c r="C54" s="14">
        <v>39.92</v>
      </c>
      <c r="D54" s="21">
        <f t="shared" si="0"/>
        <v>269159.00895476912</v>
      </c>
      <c r="E54" s="21">
        <f t="shared" si="7"/>
        <v>103922.83167545426</v>
      </c>
    </row>
    <row r="55" spans="2:16" x14ac:dyDescent="0.35">
      <c r="B55" s="23" t="s">
        <v>68</v>
      </c>
      <c r="C55" s="14">
        <v>21.12</v>
      </c>
      <c r="D55" s="21">
        <f t="shared" si="0"/>
        <v>142400.75824460731</v>
      </c>
      <c r="E55" s="21">
        <f t="shared" si="7"/>
        <v>54981.217559759367</v>
      </c>
    </row>
    <row r="56" spans="2:16" x14ac:dyDescent="0.35">
      <c r="B56" s="23" t="s">
        <v>69</v>
      </c>
      <c r="C56" s="14">
        <v>17.920000000000002</v>
      </c>
      <c r="D56" s="21">
        <f t="shared" si="0"/>
        <v>120824.88578330318</v>
      </c>
      <c r="E56" s="21">
        <f t="shared" si="7"/>
        <v>46650.730050704922</v>
      </c>
    </row>
    <row r="57" spans="2:16" x14ac:dyDescent="0.35">
      <c r="B57" s="23" t="s">
        <v>70</v>
      </c>
      <c r="C57" s="14">
        <v>49.85</v>
      </c>
      <c r="D57" s="21">
        <f t="shared" si="0"/>
        <v>336111.63818625355</v>
      </c>
      <c r="E57" s="21">
        <f t="shared" si="7"/>
        <v>129773.37572698887</v>
      </c>
    </row>
    <row r="58" spans="2:16" x14ac:dyDescent="0.35">
      <c r="B58" s="23" t="s">
        <v>219</v>
      </c>
      <c r="C58" s="14">
        <v>42.62</v>
      </c>
      <c r="D58" s="21">
        <f t="shared" si="0"/>
        <v>287363.65134399448</v>
      </c>
      <c r="E58" s="21">
        <f t="shared" si="7"/>
        <v>110951.68051121896</v>
      </c>
    </row>
    <row r="59" spans="2:16" x14ac:dyDescent="0.35">
      <c r="B59" s="23" t="s">
        <v>71</v>
      </c>
      <c r="C59" s="14">
        <v>20.53</v>
      </c>
      <c r="D59" s="21">
        <f t="shared" si="0"/>
        <v>138422.70675955436</v>
      </c>
      <c r="E59" s="21">
        <f t="shared" si="7"/>
        <v>53445.283925277457</v>
      </c>
    </row>
    <row r="60" spans="2:16" x14ac:dyDescent="0.35">
      <c r="B60" s="23" t="s">
        <v>72</v>
      </c>
      <c r="C60" s="14">
        <v>10.050000000000001</v>
      </c>
      <c r="D60" s="21">
        <f t="shared" si="0"/>
        <v>67761.724448783309</v>
      </c>
      <c r="E60" s="21">
        <f t="shared" si="7"/>
        <v>26162.937333124133</v>
      </c>
    </row>
    <row r="61" spans="2:16" x14ac:dyDescent="0.35">
      <c r="B61" s="23" t="s">
        <v>73</v>
      </c>
      <c r="C61" s="14">
        <v>12.03</v>
      </c>
      <c r="D61" s="21">
        <f t="shared" si="0"/>
        <v>81111.795534215242</v>
      </c>
      <c r="E61" s="21">
        <f t="shared" si="7"/>
        <v>31317.426479351572</v>
      </c>
    </row>
    <row r="62" spans="2:16" x14ac:dyDescent="0.35">
      <c r="B62" s="23" t="s">
        <v>74</v>
      </c>
      <c r="C62" s="14">
        <v>16.559999999999999</v>
      </c>
      <c r="D62" s="21">
        <f t="shared" si="0"/>
        <v>111655.13998724891</v>
      </c>
      <c r="E62" s="21">
        <f t="shared" si="7"/>
        <v>43110.272859356781</v>
      </c>
    </row>
    <row r="63" spans="2:16" x14ac:dyDescent="0.35">
      <c r="B63" s="23" t="s">
        <v>75</v>
      </c>
      <c r="C63" s="14">
        <v>28.14</v>
      </c>
      <c r="D63" s="21">
        <f t="shared" si="0"/>
        <v>189732.82845659327</v>
      </c>
      <c r="E63" s="21">
        <f t="shared" si="7"/>
        <v>73256.224532747568</v>
      </c>
      <c r="G63" s="16" t="s">
        <v>220</v>
      </c>
      <c r="N63" s="16" t="s">
        <v>221</v>
      </c>
    </row>
    <row r="64" spans="2:16" ht="18.5" x14ac:dyDescent="0.45">
      <c r="B64" s="23" t="s">
        <v>76</v>
      </c>
      <c r="C64" s="14">
        <v>26.05</v>
      </c>
      <c r="D64" s="21">
        <f t="shared" si="0"/>
        <v>175641.08675530402</v>
      </c>
      <c r="E64" s="21">
        <f t="shared" si="7"/>
        <v>67815.374878396397</v>
      </c>
      <c r="G64" s="22" t="s">
        <v>133</v>
      </c>
      <c r="H64" s="22" t="s">
        <v>136</v>
      </c>
      <c r="I64" s="22" t="s">
        <v>135</v>
      </c>
      <c r="N64" s="22" t="s">
        <v>133</v>
      </c>
      <c r="O64" s="22" t="s">
        <v>136</v>
      </c>
      <c r="P64" s="22" t="s">
        <v>135</v>
      </c>
    </row>
    <row r="65" spans="2:16" x14ac:dyDescent="0.35">
      <c r="B65" s="23" t="s">
        <v>77</v>
      </c>
      <c r="C65" s="14">
        <v>22.35</v>
      </c>
      <c r="D65" s="21">
        <f t="shared" si="0"/>
        <v>150693.9842219211</v>
      </c>
      <c r="E65" s="21">
        <f t="shared" si="7"/>
        <v>58183.248696052178</v>
      </c>
      <c r="G65" s="14" t="s">
        <v>222</v>
      </c>
      <c r="H65" s="25">
        <f>2167920</f>
        <v>2167920</v>
      </c>
      <c r="I65" s="21">
        <f>H65*2.589988110336</f>
        <v>5614887.0241596205</v>
      </c>
      <c r="N65" s="14" t="s">
        <v>223</v>
      </c>
      <c r="O65" s="25">
        <v>362545</v>
      </c>
      <c r="P65" s="21">
        <f>O65*2.589988110336</f>
        <v>938987.23946176504</v>
      </c>
    </row>
    <row r="66" spans="2:16" x14ac:dyDescent="0.35">
      <c r="B66" s="23" t="s">
        <v>78</v>
      </c>
      <c r="C66" s="14">
        <v>5.18</v>
      </c>
      <c r="D66" s="21">
        <f t="shared" si="0"/>
        <v>34925.943546736074</v>
      </c>
      <c r="E66" s="21">
        <f t="shared" si="7"/>
        <v>13484.976655281891</v>
      </c>
    </row>
    <row r="67" spans="2:16" x14ac:dyDescent="0.35">
      <c r="B67" s="23" t="s">
        <v>79</v>
      </c>
      <c r="C67" s="14">
        <v>26.06</v>
      </c>
      <c r="D67" s="21">
        <f t="shared" si="0"/>
        <v>175708.51135674556</v>
      </c>
      <c r="E67" s="21">
        <f t="shared" si="7"/>
        <v>67841.407651862173</v>
      </c>
    </row>
    <row r="68" spans="2:16" x14ac:dyDescent="0.35">
      <c r="B68" s="23" t="s">
        <v>224</v>
      </c>
      <c r="C68" s="14">
        <v>3.01</v>
      </c>
      <c r="D68" s="21">
        <f t="shared" si="0"/>
        <v>20294.805033914203</v>
      </c>
      <c r="E68" s="21">
        <f t="shared" si="7"/>
        <v>7835.8648132043418</v>
      </c>
    </row>
    <row r="69" spans="2:16" x14ac:dyDescent="0.35">
      <c r="B69" s="23" t="s">
        <v>225</v>
      </c>
      <c r="C69" s="14">
        <v>10.42</v>
      </c>
      <c r="D69" s="21">
        <f t="shared" si="0"/>
        <v>70256.434702121594</v>
      </c>
      <c r="E69" s="21">
        <f t="shared" si="7"/>
        <v>27126.149951358551</v>
      </c>
    </row>
    <row r="70" spans="2:16" x14ac:dyDescent="0.35">
      <c r="B70" s="23" t="s">
        <v>81</v>
      </c>
      <c r="C70" s="14">
        <v>60.5</v>
      </c>
      <c r="D70" s="21">
        <f t="shared" si="0"/>
        <v>407918.83872153139</v>
      </c>
      <c r="E70" s="21">
        <f t="shared" si="7"/>
        <v>157498.2794680607</v>
      </c>
    </row>
    <row r="71" spans="2:16" x14ac:dyDescent="0.35">
      <c r="B71" s="23" t="s">
        <v>82</v>
      </c>
      <c r="C71" s="14">
        <v>18.79</v>
      </c>
      <c r="D71" s="21">
        <f t="shared" si="0"/>
        <v>126690.82610872023</v>
      </c>
      <c r="E71" s="21">
        <f t="shared" si="7"/>
        <v>48915.581342229096</v>
      </c>
    </row>
    <row r="72" spans="2:16" x14ac:dyDescent="0.35">
      <c r="B72" s="23" t="s">
        <v>83</v>
      </c>
      <c r="C72" s="14">
        <v>77.48</v>
      </c>
      <c r="D72" s="21">
        <f t="shared" si="0"/>
        <v>522405.81196932646</v>
      </c>
      <c r="E72" s="21">
        <f t="shared" si="7"/>
        <v>201701.92881298088</v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24DDF-5579-4DD7-9130-56023DB0DD03}">
  <dimension ref="B2:H67"/>
  <sheetViews>
    <sheetView workbookViewId="0">
      <selection activeCell="P65" sqref="P65"/>
    </sheetView>
  </sheetViews>
  <sheetFormatPr defaultColWidth="9.1796875" defaultRowHeight="14.5" x14ac:dyDescent="0.35"/>
  <cols>
    <col min="1" max="1" width="9.1796875" style="14"/>
    <col min="2" max="2" width="32.81640625" style="14" bestFit="1" customWidth="1"/>
    <col min="3" max="3" width="15.81640625" style="18" customWidth="1"/>
    <col min="4" max="4" width="20.26953125" style="14" customWidth="1"/>
    <col min="5" max="5" width="32.453125" style="14" customWidth="1"/>
    <col min="6" max="6" width="32.81640625" style="14" bestFit="1" customWidth="1"/>
    <col min="7" max="16384" width="9.1796875" style="14"/>
  </cols>
  <sheetData>
    <row r="2" spans="2:8" x14ac:dyDescent="0.35">
      <c r="B2" s="16" t="s">
        <v>0</v>
      </c>
      <c r="C2" s="26">
        <f>SUM(C6:C67)</f>
        <v>11667220.458051654</v>
      </c>
      <c r="D2" s="26">
        <f>SUM(D6:D67)</f>
        <v>28291630</v>
      </c>
      <c r="E2" s="19">
        <f>D2/C2</f>
        <v>2.4248817532607512</v>
      </c>
      <c r="F2" s="19">
        <f>D2/(C2*0.386102)</f>
        <v>6.2804174888002429</v>
      </c>
    </row>
    <row r="5" spans="2:8" ht="18.5" x14ac:dyDescent="0.45">
      <c r="B5" s="22" t="s">
        <v>133</v>
      </c>
      <c r="C5" s="27" t="s">
        <v>135</v>
      </c>
      <c r="D5" s="27" t="s">
        <v>226</v>
      </c>
      <c r="E5" s="27" t="s">
        <v>227</v>
      </c>
      <c r="F5" s="27" t="s">
        <v>228</v>
      </c>
      <c r="G5" s="24"/>
      <c r="H5" s="28"/>
    </row>
    <row r="6" spans="2:8" x14ac:dyDescent="0.35">
      <c r="B6" s="14" t="s">
        <v>142</v>
      </c>
      <c r="C6" s="26">
        <f>Area!D11</f>
        <v>835255.96265823639</v>
      </c>
      <c r="D6" s="20">
        <f>3836100-D7-D26-D45</f>
        <v>3536100</v>
      </c>
      <c r="E6" s="19">
        <f>D6/C6</f>
        <v>4.233552537291942</v>
      </c>
      <c r="F6" s="19">
        <f>D6/(C6*0.386102)</f>
        <v>10.964855238491232</v>
      </c>
    </row>
    <row r="7" spans="2:8" x14ac:dyDescent="0.35">
      <c r="B7" s="14" t="s">
        <v>148</v>
      </c>
      <c r="C7" s="26">
        <f>Area!D12</f>
        <v>163302.38469149568</v>
      </c>
      <c r="D7" s="20">
        <v>100000</v>
      </c>
      <c r="E7" s="19">
        <f t="shared" ref="E7:E67" si="0">D7/C7</f>
        <v>0.61236092901469863</v>
      </c>
      <c r="F7" s="19">
        <f t="shared" ref="F7:F67" si="1">D7/(C7*0.386102)</f>
        <v>1.5860081766338914</v>
      </c>
      <c r="G7" s="23"/>
    </row>
    <row r="8" spans="2:8" x14ac:dyDescent="0.35">
      <c r="B8" s="23" t="s">
        <v>30</v>
      </c>
      <c r="C8" s="26">
        <f>Area!D13</f>
        <v>391399.8113683454</v>
      </c>
      <c r="D8" s="14">
        <v>475200</v>
      </c>
      <c r="E8" s="19">
        <f t="shared" si="0"/>
        <v>1.2141038043393191</v>
      </c>
      <c r="F8" s="19">
        <f t="shared" si="1"/>
        <v>3.1445157091631724</v>
      </c>
      <c r="G8" s="23"/>
    </row>
    <row r="9" spans="2:8" x14ac:dyDescent="0.35">
      <c r="B9" s="23" t="s">
        <v>31</v>
      </c>
      <c r="C9" s="26">
        <f>Area!D14</f>
        <v>94866.414228296635</v>
      </c>
      <c r="D9" s="14">
        <v>123880</v>
      </c>
      <c r="E9" s="19">
        <f t="shared" si="0"/>
        <v>1.3058362225210915</v>
      </c>
      <c r="F9" s="19">
        <f t="shared" si="1"/>
        <v>3.3821016791446081</v>
      </c>
      <c r="G9" s="23"/>
    </row>
    <row r="10" spans="2:8" x14ac:dyDescent="0.35">
      <c r="B10" s="23" t="s">
        <v>32</v>
      </c>
      <c r="C10" s="26">
        <f>Area!D15</f>
        <v>165257.6981333014</v>
      </c>
      <c r="D10" s="14">
        <v>110000</v>
      </c>
      <c r="E10" s="19">
        <f t="shared" si="0"/>
        <v>0.66562708571234597</v>
      </c>
      <c r="F10" s="19">
        <f t="shared" si="1"/>
        <v>1.7239669458131426</v>
      </c>
      <c r="G10" s="23"/>
    </row>
    <row r="11" spans="2:8" x14ac:dyDescent="0.35">
      <c r="B11" s="23" t="s">
        <v>33</v>
      </c>
      <c r="C11" s="26">
        <f>Area!D16</f>
        <v>139501.50038261959</v>
      </c>
      <c r="D11" s="14">
        <v>310000</v>
      </c>
      <c r="E11" s="19">
        <f t="shared" si="0"/>
        <v>2.222198321521585</v>
      </c>
      <c r="F11" s="19">
        <f t="shared" si="1"/>
        <v>5.7554695948779981</v>
      </c>
      <c r="G11" s="23"/>
    </row>
    <row r="12" spans="2:8" x14ac:dyDescent="0.35">
      <c r="B12" s="23" t="s">
        <v>167</v>
      </c>
      <c r="C12" s="26">
        <f>Area!D17</f>
        <v>207870.04624437704</v>
      </c>
      <c r="D12" s="14">
        <v>26500</v>
      </c>
      <c r="E12" s="19">
        <f t="shared" si="0"/>
        <v>0.12748349499497375</v>
      </c>
      <c r="F12" s="19">
        <f t="shared" si="1"/>
        <v>0.33018087188093753</v>
      </c>
      <c r="G12" s="23"/>
    </row>
    <row r="13" spans="2:8" x14ac:dyDescent="0.35">
      <c r="B13" s="23" t="s">
        <v>35</v>
      </c>
      <c r="C13" s="26">
        <f>Area!D18</f>
        <v>59131.375464261655</v>
      </c>
      <c r="D13" s="14">
        <v>140000</v>
      </c>
      <c r="E13" s="19">
        <f t="shared" si="0"/>
        <v>2.3676093935040363</v>
      </c>
      <c r="F13" s="19">
        <f t="shared" si="1"/>
        <v>6.1320826970697802</v>
      </c>
      <c r="G13" s="23"/>
    </row>
    <row r="14" spans="2:8" x14ac:dyDescent="0.35">
      <c r="B14" s="23" t="s">
        <v>172</v>
      </c>
      <c r="C14" s="26">
        <f>Area!D19</f>
        <v>20969.051048329959</v>
      </c>
      <c r="D14" s="14">
        <v>20000</v>
      </c>
      <c r="E14" s="19">
        <f t="shared" si="0"/>
        <v>0.95378660454893893</v>
      </c>
      <c r="F14" s="19">
        <f t="shared" si="1"/>
        <v>2.4702969799403758</v>
      </c>
      <c r="G14" s="23"/>
    </row>
    <row r="15" spans="2:8" x14ac:dyDescent="0.35">
      <c r="B15" s="23" t="s">
        <v>174</v>
      </c>
      <c r="C15" s="26">
        <f>Area!D20</f>
        <v>12675.825071016181</v>
      </c>
      <c r="D15" s="14">
        <v>128000</v>
      </c>
      <c r="E15" s="19">
        <f t="shared" si="0"/>
        <v>10.097962009011745</v>
      </c>
      <c r="F15" s="19">
        <f t="shared" si="1"/>
        <v>26.153612281241085</v>
      </c>
      <c r="G15" s="23"/>
    </row>
    <row r="16" spans="2:8" x14ac:dyDescent="0.35">
      <c r="B16" s="23" t="s">
        <v>37</v>
      </c>
      <c r="C16" s="26">
        <f>Area!D21</f>
        <v>162021.31726410578</v>
      </c>
      <c r="D16" s="14">
        <v>1960000</v>
      </c>
      <c r="E16" s="19">
        <f t="shared" si="0"/>
        <v>12.097173588615297</v>
      </c>
      <c r="F16" s="19">
        <f t="shared" si="1"/>
        <v>31.331548628640348</v>
      </c>
      <c r="G16" s="23"/>
    </row>
    <row r="17" spans="2:7" x14ac:dyDescent="0.35">
      <c r="B17" s="23" t="s">
        <v>38</v>
      </c>
      <c r="C17" s="26">
        <f>Area!D22</f>
        <v>175169.11454521297</v>
      </c>
      <c r="D17" s="14">
        <v>144500</v>
      </c>
      <c r="E17" s="19">
        <f t="shared" si="0"/>
        <v>0.82491711153054348</v>
      </c>
      <c r="F17" s="19">
        <f t="shared" si="1"/>
        <v>2.136526388183805</v>
      </c>
      <c r="G17" s="23"/>
    </row>
    <row r="18" spans="2:7" x14ac:dyDescent="0.35">
      <c r="B18" s="23" t="s">
        <v>39</v>
      </c>
      <c r="C18" s="26">
        <f>Area!D23</f>
        <v>526586.13725870405</v>
      </c>
      <c r="D18" s="14">
        <v>1481800</v>
      </c>
      <c r="E18" s="19">
        <f t="shared" si="0"/>
        <v>2.813974571594188</v>
      </c>
      <c r="F18" s="19">
        <f t="shared" si="1"/>
        <v>7.2881636759047819</v>
      </c>
      <c r="G18" s="23"/>
    </row>
    <row r="19" spans="2:7" x14ac:dyDescent="0.35">
      <c r="B19" s="23" t="s">
        <v>40</v>
      </c>
      <c r="C19" s="26">
        <f>Area!D24</f>
        <v>81988.315352955731</v>
      </c>
      <c r="D19" s="14">
        <v>70000</v>
      </c>
      <c r="E19" s="19">
        <f t="shared" si="0"/>
        <v>0.85378019658842097</v>
      </c>
      <c r="F19" s="19">
        <f t="shared" si="1"/>
        <v>2.2112814660074824</v>
      </c>
      <c r="G19" s="23"/>
    </row>
    <row r="20" spans="2:7" x14ac:dyDescent="0.35">
      <c r="B20" s="23" t="s">
        <v>41</v>
      </c>
      <c r="C20" s="26">
        <f>Area!D25</f>
        <v>110778.62016850844</v>
      </c>
      <c r="D20" s="14">
        <v>254600</v>
      </c>
      <c r="E20" s="19">
        <f t="shared" si="0"/>
        <v>2.2982774077951222</v>
      </c>
      <c r="F20" s="19">
        <f t="shared" si="1"/>
        <v>5.9525136046824985</v>
      </c>
      <c r="G20" s="23"/>
    </row>
    <row r="21" spans="2:7" x14ac:dyDescent="0.35">
      <c r="B21" s="23" t="s">
        <v>181</v>
      </c>
      <c r="C21" s="26">
        <f>Area!D26</f>
        <v>37353.229198632791</v>
      </c>
      <c r="D21" s="14">
        <f>160000-20000-40000</f>
        <v>100000</v>
      </c>
      <c r="E21" s="19">
        <f t="shared" si="0"/>
        <v>2.6771447113241877</v>
      </c>
      <c r="F21" s="19">
        <f t="shared" si="1"/>
        <v>6.9337758191467218</v>
      </c>
      <c r="G21" s="23"/>
    </row>
    <row r="22" spans="2:7" x14ac:dyDescent="0.35">
      <c r="B22" s="23" t="s">
        <v>183</v>
      </c>
      <c r="C22" s="26">
        <f>Area!D27</f>
        <v>10383.388622002616</v>
      </c>
      <c r="D22" s="14">
        <f>20000</f>
        <v>20000</v>
      </c>
      <c r="E22" s="19">
        <f t="shared" si="0"/>
        <v>1.9261534676280521</v>
      </c>
      <c r="F22" s="19">
        <f t="shared" si="1"/>
        <v>4.988716628321149</v>
      </c>
      <c r="G22" s="23"/>
    </row>
    <row r="23" spans="2:7" x14ac:dyDescent="0.35">
      <c r="B23" s="23" t="s">
        <v>186</v>
      </c>
      <c r="C23" s="26">
        <f>Area!D28</f>
        <v>164920.57512609352</v>
      </c>
      <c r="D23" s="14">
        <v>250000</v>
      </c>
      <c r="E23" s="19">
        <f t="shared" si="0"/>
        <v>1.515881204081766</v>
      </c>
      <c r="F23" s="19">
        <f t="shared" si="1"/>
        <v>3.9261159074072811</v>
      </c>
      <c r="G23" s="23"/>
    </row>
    <row r="24" spans="2:7" x14ac:dyDescent="0.35">
      <c r="B24" s="23" t="s">
        <v>188</v>
      </c>
      <c r="C24" s="26">
        <f>Area!D29</f>
        <v>66885.204630042834</v>
      </c>
      <c r="D24" s="14">
        <v>46000</v>
      </c>
      <c r="E24" s="19">
        <f t="shared" si="0"/>
        <v>0.68774552241316123</v>
      </c>
      <c r="F24" s="19">
        <f t="shared" si="1"/>
        <v>1.7812534574106356</v>
      </c>
      <c r="G24" s="23"/>
    </row>
    <row r="25" spans="2:7" x14ac:dyDescent="0.35">
      <c r="B25" s="23" t="s">
        <v>44</v>
      </c>
      <c r="C25" s="26">
        <f>Area!D30</f>
        <v>238548.23990029385</v>
      </c>
      <c r="D25" s="14">
        <v>158800</v>
      </c>
      <c r="E25" s="19">
        <f t="shared" si="0"/>
        <v>0.6656934466017177</v>
      </c>
      <c r="F25" s="19">
        <f t="shared" si="1"/>
        <v>1.724138819798182</v>
      </c>
      <c r="G25" s="23"/>
    </row>
    <row r="26" spans="2:7" x14ac:dyDescent="0.35">
      <c r="B26" s="23" t="s">
        <v>191</v>
      </c>
      <c r="C26" s="26">
        <f>Area!D31</f>
        <v>42477.498908192523</v>
      </c>
      <c r="D26" s="14">
        <v>150000</v>
      </c>
      <c r="E26" s="19">
        <f t="shared" si="0"/>
        <v>3.531281357318095</v>
      </c>
      <c r="F26" s="19">
        <f t="shared" si="1"/>
        <v>9.1459804852554374</v>
      </c>
      <c r="G26" s="23"/>
    </row>
    <row r="27" spans="2:7" x14ac:dyDescent="0.35">
      <c r="B27" s="23" t="s">
        <v>45</v>
      </c>
      <c r="C27" s="26">
        <f>Area!D32</f>
        <v>5663.6665210923366</v>
      </c>
      <c r="D27" s="14">
        <v>71000</v>
      </c>
      <c r="E27" s="19">
        <f t="shared" si="0"/>
        <v>12.536048818479237</v>
      </c>
      <c r="F27" s="19">
        <f t="shared" si="1"/>
        <v>32.468230722656806</v>
      </c>
      <c r="G27" s="23"/>
    </row>
    <row r="28" spans="2:7" x14ac:dyDescent="0.35">
      <c r="B28" s="23" t="s">
        <v>195</v>
      </c>
      <c r="C28" s="26">
        <f>Area!D33</f>
        <v>291543.97663337219</v>
      </c>
      <c r="D28" s="14">
        <f>700000-D23</f>
        <v>450000</v>
      </c>
      <c r="E28" s="19">
        <f t="shared" si="0"/>
        <v>1.5435064212144309</v>
      </c>
      <c r="F28" s="19">
        <f t="shared" si="1"/>
        <v>3.9976649207060078</v>
      </c>
      <c r="G28" s="23"/>
    </row>
    <row r="29" spans="2:7" x14ac:dyDescent="0.35">
      <c r="B29" s="23" t="s">
        <v>47</v>
      </c>
      <c r="C29" s="26">
        <f>Area!D34</f>
        <v>336516.18579490297</v>
      </c>
      <c r="D29" s="14">
        <v>1800000</v>
      </c>
      <c r="E29" s="19">
        <f t="shared" si="0"/>
        <v>5.3489254781255866</v>
      </c>
      <c r="F29" s="19">
        <f t="shared" si="1"/>
        <v>13.853659080050315</v>
      </c>
      <c r="G29" s="23"/>
    </row>
    <row r="30" spans="2:7" x14ac:dyDescent="0.35">
      <c r="B30" s="23" t="s">
        <v>48</v>
      </c>
      <c r="C30" s="26">
        <f>Area!D35</f>
        <v>106126.32266903973</v>
      </c>
      <c r="D30" s="14">
        <v>275000</v>
      </c>
      <c r="E30" s="19">
        <f t="shared" si="0"/>
        <v>2.5912515677905974</v>
      </c>
      <c r="F30" s="19">
        <f t="shared" si="1"/>
        <v>6.7113135072871861</v>
      </c>
      <c r="G30" s="23"/>
    </row>
    <row r="31" spans="2:7" x14ac:dyDescent="0.35">
      <c r="B31" s="23" t="s">
        <v>49</v>
      </c>
      <c r="C31" s="26">
        <f>Area!D36</f>
        <v>44365.387748556634</v>
      </c>
      <c r="D31" s="14">
        <v>41000</v>
      </c>
      <c r="E31" s="19">
        <f t="shared" si="0"/>
        <v>0.92414384457473564</v>
      </c>
      <c r="F31" s="19">
        <f t="shared" si="1"/>
        <v>2.393522552524296</v>
      </c>
      <c r="G31" s="23"/>
    </row>
    <row r="32" spans="2:7" x14ac:dyDescent="0.35">
      <c r="B32" s="23" t="s">
        <v>50</v>
      </c>
      <c r="C32" s="26">
        <f>Area!D37</f>
        <v>81583.767744306271</v>
      </c>
      <c r="D32" s="14">
        <v>266000</v>
      </c>
      <c r="E32" s="19">
        <f t="shared" si="0"/>
        <v>3.2604525061122116</v>
      </c>
      <c r="F32" s="19">
        <f t="shared" si="1"/>
        <v>8.4445366926672527</v>
      </c>
      <c r="G32" s="23"/>
    </row>
    <row r="33" spans="2:7" x14ac:dyDescent="0.35">
      <c r="B33" s="23" t="s">
        <v>51</v>
      </c>
      <c r="C33" s="26">
        <f>Area!D38</f>
        <v>610934.31366211502</v>
      </c>
      <c r="D33" s="14">
        <v>2618200</v>
      </c>
      <c r="E33" s="19">
        <f t="shared" si="0"/>
        <v>4.2855671083618798</v>
      </c>
      <c r="F33" s="19">
        <f t="shared" si="1"/>
        <v>11.099572414444577</v>
      </c>
      <c r="G33" s="23"/>
    </row>
    <row r="34" spans="2:7" x14ac:dyDescent="0.35">
      <c r="B34" s="23" t="s">
        <v>206</v>
      </c>
      <c r="C34" s="26">
        <f>Area!D39</f>
        <v>641477.65811514866</v>
      </c>
      <c r="D34" s="20">
        <f>2618200-D7</f>
        <v>2518200</v>
      </c>
      <c r="E34" s="19">
        <f t="shared" si="0"/>
        <v>3.9256238594485384</v>
      </c>
      <c r="F34" s="19">
        <f t="shared" si="1"/>
        <v>10.167323296560335</v>
      </c>
      <c r="G34" s="23"/>
    </row>
    <row r="35" spans="2:7" x14ac:dyDescent="0.35">
      <c r="B35" s="23" t="s">
        <v>53</v>
      </c>
      <c r="C35" s="26">
        <f>Area!D40</f>
        <v>30947.892061683124</v>
      </c>
      <c r="D35" s="14">
        <v>85500</v>
      </c>
      <c r="E35" s="19">
        <f t="shared" si="0"/>
        <v>2.7627083560194508</v>
      </c>
      <c r="F35" s="19">
        <f t="shared" si="1"/>
        <v>7.1553847325821955</v>
      </c>
      <c r="G35" s="23"/>
    </row>
    <row r="36" spans="2:7" x14ac:dyDescent="0.35">
      <c r="B36" s="23" t="s">
        <v>54</v>
      </c>
      <c r="C36" s="26">
        <f>Area!D41</f>
        <v>210095.05809194906</v>
      </c>
      <c r="D36" s="14">
        <v>395000</v>
      </c>
      <c r="E36" s="19">
        <f t="shared" si="0"/>
        <v>1.8801013388288574</v>
      </c>
      <c r="F36" s="19">
        <f t="shared" si="1"/>
        <v>4.8694421132987067</v>
      </c>
      <c r="G36" s="23"/>
    </row>
    <row r="37" spans="2:7" x14ac:dyDescent="0.35">
      <c r="B37" s="23" t="s">
        <v>55</v>
      </c>
      <c r="C37" s="26">
        <f>Area!D42</f>
        <v>833570.347622197</v>
      </c>
      <c r="D37" s="14">
        <v>500000</v>
      </c>
      <c r="E37" s="19">
        <f t="shared" si="0"/>
        <v>0.59982939823408565</v>
      </c>
      <c r="F37" s="19">
        <f t="shared" si="1"/>
        <v>1.553551647580395</v>
      </c>
      <c r="G37" s="23"/>
    </row>
    <row r="38" spans="2:7" x14ac:dyDescent="0.35">
      <c r="B38" s="23" t="s">
        <v>56</v>
      </c>
      <c r="C38" s="26">
        <f>Area!D43</f>
        <v>118262.75092852331</v>
      </c>
      <c r="D38" s="14">
        <v>468000</v>
      </c>
      <c r="E38" s="19">
        <f t="shared" si="0"/>
        <v>3.9572899862853181</v>
      </c>
      <c r="F38" s="19">
        <f t="shared" si="1"/>
        <v>10.249338222245205</v>
      </c>
      <c r="G38" s="23"/>
    </row>
    <row r="39" spans="2:7" x14ac:dyDescent="0.35">
      <c r="B39" s="23" t="s">
        <v>215</v>
      </c>
      <c r="C39" s="26">
        <f>Area!D44</f>
        <v>141996.21063595786</v>
      </c>
      <c r="D39" s="14">
        <f>476000-120000</f>
        <v>356000</v>
      </c>
      <c r="E39" s="19">
        <f t="shared" si="0"/>
        <v>2.5071091573893711</v>
      </c>
      <c r="F39" s="19">
        <f t="shared" si="1"/>
        <v>6.4933855752867666</v>
      </c>
      <c r="G39" s="23"/>
    </row>
    <row r="40" spans="2:7" x14ac:dyDescent="0.35">
      <c r="B40" s="23" t="s">
        <v>58</v>
      </c>
      <c r="C40" s="26">
        <f>Area!D45</f>
        <v>41466.129886568895</v>
      </c>
      <c r="D40" s="14">
        <v>138500</v>
      </c>
      <c r="E40" s="19">
        <f t="shared" si="0"/>
        <v>3.340075391141359</v>
      </c>
      <c r="F40" s="19">
        <f t="shared" si="1"/>
        <v>8.6507591028830699</v>
      </c>
      <c r="G40" s="23"/>
    </row>
    <row r="41" spans="2:7" x14ac:dyDescent="0.35">
      <c r="B41" s="23" t="s">
        <v>59</v>
      </c>
      <c r="C41" s="26">
        <f>Area!D46</f>
        <v>74639.033795824012</v>
      </c>
      <c r="D41" s="14">
        <v>380000</v>
      </c>
      <c r="E41" s="19">
        <f t="shared" si="0"/>
        <v>5.0911698701713455</v>
      </c>
      <c r="F41" s="19">
        <f t="shared" si="1"/>
        <v>13.186074845950928</v>
      </c>
      <c r="G41" s="23"/>
    </row>
    <row r="42" spans="2:7" x14ac:dyDescent="0.35">
      <c r="B42" s="23" t="s">
        <v>60</v>
      </c>
      <c r="C42" s="26">
        <f>Area!D47</f>
        <v>190676.77287677533</v>
      </c>
      <c r="D42" s="14">
        <v>35000</v>
      </c>
      <c r="E42" s="19">
        <f t="shared" si="0"/>
        <v>0.18355670421702969</v>
      </c>
      <c r="F42" s="19">
        <f t="shared" si="1"/>
        <v>0.47540987670882229</v>
      </c>
      <c r="G42" s="23"/>
    </row>
    <row r="43" spans="2:7" x14ac:dyDescent="0.35">
      <c r="B43" s="23" t="s">
        <v>62</v>
      </c>
      <c r="C43" s="26">
        <f>Area!D48</f>
        <v>31419.864271774153</v>
      </c>
      <c r="D43" s="14">
        <v>154000</v>
      </c>
      <c r="E43" s="19">
        <f t="shared" si="0"/>
        <v>4.901357901101596</v>
      </c>
      <c r="F43" s="19">
        <f t="shared" si="1"/>
        <v>12.694463900994029</v>
      </c>
      <c r="G43" s="23"/>
    </row>
    <row r="44" spans="2:7" x14ac:dyDescent="0.35">
      <c r="B44" s="23" t="s">
        <v>63</v>
      </c>
      <c r="C44" s="26">
        <f>Area!D49</f>
        <v>135725.72270189133</v>
      </c>
      <c r="D44" s="14">
        <v>420000</v>
      </c>
      <c r="E44" s="19">
        <f t="shared" si="0"/>
        <v>3.0944760627467067</v>
      </c>
      <c r="F44" s="19">
        <f t="shared" si="1"/>
        <v>8.0146595012372543</v>
      </c>
      <c r="G44" s="23"/>
    </row>
    <row r="45" spans="2:7" x14ac:dyDescent="0.35">
      <c r="B45" s="23" t="s">
        <v>218</v>
      </c>
      <c r="C45" s="26">
        <f>Area!D50</f>
        <v>134579.50447738456</v>
      </c>
      <c r="D45" s="14">
        <v>50000</v>
      </c>
      <c r="E45" s="19">
        <f t="shared" si="0"/>
        <v>0.37152759771382765</v>
      </c>
      <c r="F45" s="19">
        <f t="shared" si="1"/>
        <v>0.96225245586354824</v>
      </c>
      <c r="G45" s="23"/>
    </row>
    <row r="46" spans="2:7" x14ac:dyDescent="0.35">
      <c r="B46" s="23" t="s">
        <v>64</v>
      </c>
      <c r="C46" s="26">
        <f>Area!D51</f>
        <v>139771.19878838587</v>
      </c>
      <c r="D46" s="14">
        <v>27000</v>
      </c>
      <c r="E46" s="19">
        <f t="shared" si="0"/>
        <v>0.19317284414851521</v>
      </c>
      <c r="F46" s="19">
        <f t="shared" si="1"/>
        <v>0.5003155750255508</v>
      </c>
      <c r="G46" s="23"/>
    </row>
    <row r="47" spans="2:7" x14ac:dyDescent="0.35">
      <c r="B47" s="23" t="s">
        <v>65</v>
      </c>
      <c r="C47" s="26">
        <f>Area!D52</f>
        <v>211308.7009178974</v>
      </c>
      <c r="D47" s="14">
        <v>209000</v>
      </c>
      <c r="E47" s="19">
        <f t="shared" si="0"/>
        <v>0.98907427423542571</v>
      </c>
      <c r="F47" s="19">
        <f t="shared" si="1"/>
        <v>2.5616916623986037</v>
      </c>
      <c r="G47" s="23"/>
    </row>
    <row r="48" spans="2:7" x14ac:dyDescent="0.35">
      <c r="B48" s="23" t="s">
        <v>66</v>
      </c>
      <c r="C48" s="26">
        <f>Area!D53</f>
        <v>118127.90172564016</v>
      </c>
      <c r="D48" s="14">
        <v>144000</v>
      </c>
      <c r="E48" s="19">
        <f t="shared" si="0"/>
        <v>1.2190176740330958</v>
      </c>
      <c r="F48" s="19">
        <f t="shared" si="1"/>
        <v>3.1572425784717399</v>
      </c>
      <c r="G48" s="23"/>
    </row>
    <row r="49" spans="2:7" x14ac:dyDescent="0.35">
      <c r="B49" s="23" t="s">
        <v>67</v>
      </c>
      <c r="C49" s="26">
        <f>Area!D54</f>
        <v>269159.00895476912</v>
      </c>
      <c r="D49" s="14">
        <v>55000</v>
      </c>
      <c r="E49" s="19">
        <f t="shared" si="0"/>
        <v>0.20434017874260521</v>
      </c>
      <c r="F49" s="19">
        <f t="shared" si="1"/>
        <v>0.52923885072495147</v>
      </c>
      <c r="G49" s="23"/>
    </row>
    <row r="50" spans="2:7" x14ac:dyDescent="0.35">
      <c r="B50" s="23" t="s">
        <v>68</v>
      </c>
      <c r="C50" s="26">
        <f>Area!D55</f>
        <v>142400.75824460731</v>
      </c>
      <c r="D50" s="14">
        <v>125000</v>
      </c>
      <c r="E50" s="19">
        <f t="shared" si="0"/>
        <v>0.87780431467424247</v>
      </c>
      <c r="F50" s="19">
        <f t="shared" si="1"/>
        <v>2.27350367176094</v>
      </c>
      <c r="G50" s="23"/>
    </row>
    <row r="51" spans="2:7" x14ac:dyDescent="0.35">
      <c r="B51" s="23" t="s">
        <v>69</v>
      </c>
      <c r="C51" s="26">
        <f>Area!D56</f>
        <v>120824.88578330318</v>
      </c>
      <c r="D51" s="14">
        <v>195000</v>
      </c>
      <c r="E51" s="19">
        <f t="shared" si="0"/>
        <v>1.6139059328367857</v>
      </c>
      <c r="F51" s="19">
        <f t="shared" si="1"/>
        <v>4.1799988936518995</v>
      </c>
      <c r="G51" s="23"/>
    </row>
    <row r="52" spans="2:7" x14ac:dyDescent="0.35">
      <c r="B52" s="23" t="s">
        <v>70</v>
      </c>
      <c r="C52" s="26">
        <f>Area!D57</f>
        <v>336111.63818625355</v>
      </c>
      <c r="D52" s="14">
        <v>104000</v>
      </c>
      <c r="E52" s="19">
        <f t="shared" si="0"/>
        <v>0.30942100238245618</v>
      </c>
      <c r="F52" s="19">
        <f t="shared" si="1"/>
        <v>0.80139704633090769</v>
      </c>
      <c r="G52" s="23"/>
    </row>
    <row r="53" spans="2:7" x14ac:dyDescent="0.35">
      <c r="B53" s="23" t="s">
        <v>219</v>
      </c>
      <c r="C53" s="26">
        <f>Area!D58</f>
        <v>287363.65134399448</v>
      </c>
      <c r="D53" s="14">
        <v>450000</v>
      </c>
      <c r="E53" s="19">
        <f t="shared" si="0"/>
        <v>1.565960057562459</v>
      </c>
      <c r="F53" s="19">
        <f t="shared" si="1"/>
        <v>4.055819595760858</v>
      </c>
      <c r="G53" s="23"/>
    </row>
    <row r="54" spans="2:7" x14ac:dyDescent="0.35">
      <c r="B54" s="23" t="s">
        <v>71</v>
      </c>
      <c r="C54" s="26">
        <f>Area!D59</f>
        <v>138422.70675955436</v>
      </c>
      <c r="D54" s="14">
        <v>273000</v>
      </c>
      <c r="E54" s="19">
        <f t="shared" si="0"/>
        <v>1.9722197780326001</v>
      </c>
      <c r="F54" s="19">
        <f t="shared" si="1"/>
        <v>5.1080278735479228</v>
      </c>
      <c r="G54" s="23"/>
    </row>
    <row r="55" spans="2:7" x14ac:dyDescent="0.35">
      <c r="B55" s="23" t="s">
        <v>72</v>
      </c>
      <c r="C55" s="26">
        <f>Area!D60</f>
        <v>67761.724448783309</v>
      </c>
      <c r="D55" s="14">
        <v>370000</v>
      </c>
      <c r="E55" s="19">
        <f t="shared" si="0"/>
        <v>5.4603096808679803</v>
      </c>
      <c r="F55" s="19">
        <f t="shared" si="1"/>
        <v>14.142142959290499</v>
      </c>
      <c r="G55" s="23"/>
    </row>
    <row r="56" spans="2:7" x14ac:dyDescent="0.35">
      <c r="B56" s="23" t="s">
        <v>73</v>
      </c>
      <c r="C56" s="26">
        <f>Area!D61</f>
        <v>81111.795534215242</v>
      </c>
      <c r="D56" s="14">
        <v>392200</v>
      </c>
      <c r="E56" s="19">
        <f t="shared" si="0"/>
        <v>4.8353016650279796</v>
      </c>
      <c r="F56" s="19">
        <f t="shared" si="1"/>
        <v>12.523378964698395</v>
      </c>
      <c r="G56" s="23"/>
    </row>
    <row r="57" spans="2:7" x14ac:dyDescent="0.35">
      <c r="B57" s="23" t="s">
        <v>74</v>
      </c>
      <c r="C57" s="26">
        <f>Area!D62</f>
        <v>111655.13998724891</v>
      </c>
      <c r="D57" s="14">
        <v>538400</v>
      </c>
      <c r="E57" s="19">
        <f t="shared" si="0"/>
        <v>4.8219902824132017</v>
      </c>
      <c r="F57" s="19">
        <f t="shared" si="1"/>
        <v>12.488902627837209</v>
      </c>
      <c r="G57" s="23"/>
    </row>
    <row r="58" spans="2:7" x14ac:dyDescent="0.35">
      <c r="B58" s="23" t="s">
        <v>75</v>
      </c>
      <c r="C58" s="26">
        <f>Area!D63</f>
        <v>189732.82845659327</v>
      </c>
      <c r="D58" s="14">
        <v>277400</v>
      </c>
      <c r="E58" s="19">
        <f t="shared" si="0"/>
        <v>1.4620558933134919</v>
      </c>
      <c r="F58" s="19">
        <f t="shared" si="1"/>
        <v>3.786708935238595</v>
      </c>
      <c r="G58" s="23"/>
    </row>
    <row r="59" spans="2:7" x14ac:dyDescent="0.35">
      <c r="B59" s="23" t="s">
        <v>76</v>
      </c>
      <c r="C59" s="26">
        <f>Area!D64</f>
        <v>175641.08675530402</v>
      </c>
      <c r="D59" s="14">
        <v>682200</v>
      </c>
      <c r="E59" s="19">
        <f t="shared" si="0"/>
        <v>3.8840570427033008</v>
      </c>
      <c r="F59" s="19">
        <f t="shared" si="1"/>
        <v>10.059665691198958</v>
      </c>
      <c r="G59" s="23"/>
    </row>
    <row r="60" spans="2:7" x14ac:dyDescent="0.35">
      <c r="B60" s="23" t="s">
        <v>77</v>
      </c>
      <c r="C60" s="26">
        <f>Area!D65</f>
        <v>150693.9842219211</v>
      </c>
      <c r="D60" s="14">
        <v>751850</v>
      </c>
      <c r="E60" s="19">
        <f t="shared" si="0"/>
        <v>4.9892502602677231</v>
      </c>
      <c r="F60" s="19">
        <f t="shared" si="1"/>
        <v>12.922104159698016</v>
      </c>
      <c r="G60" s="23"/>
    </row>
    <row r="61" spans="2:7" x14ac:dyDescent="0.35">
      <c r="B61" s="23" t="s">
        <v>78</v>
      </c>
      <c r="C61" s="26">
        <f>Area!D66</f>
        <v>34925.943546736074</v>
      </c>
      <c r="D61" s="14">
        <v>10000</v>
      </c>
      <c r="E61" s="19">
        <f t="shared" si="0"/>
        <v>0.28632011005281854</v>
      </c>
      <c r="F61" s="19">
        <f t="shared" si="1"/>
        <v>0.7415659852909815</v>
      </c>
      <c r="G61" s="23"/>
    </row>
    <row r="62" spans="2:7" x14ac:dyDescent="0.35">
      <c r="B62" s="23" t="s">
        <v>79</v>
      </c>
      <c r="C62" s="26">
        <f>Area!D67</f>
        <v>175708.51135674556</v>
      </c>
      <c r="D62" s="14">
        <v>668800</v>
      </c>
      <c r="E62" s="19">
        <f t="shared" si="0"/>
        <v>3.8063039453001681</v>
      </c>
      <c r="F62" s="19">
        <f t="shared" si="1"/>
        <v>9.858286010691911</v>
      </c>
    </row>
    <row r="63" spans="2:7" x14ac:dyDescent="0.35">
      <c r="B63" s="23" t="s">
        <v>224</v>
      </c>
      <c r="C63" s="26">
        <f>Area!D68</f>
        <v>20294.805033914203</v>
      </c>
      <c r="D63" s="14">
        <v>177800</v>
      </c>
      <c r="E63" s="19">
        <f t="shared" si="0"/>
        <v>8.7608626790394055</v>
      </c>
      <c r="F63" s="19">
        <f t="shared" si="1"/>
        <v>22.690539492256981</v>
      </c>
    </row>
    <row r="64" spans="2:7" x14ac:dyDescent="0.35">
      <c r="B64" s="23" t="s">
        <v>225</v>
      </c>
      <c r="C64" s="26">
        <f>Area!D69</f>
        <v>70256.434702121594</v>
      </c>
      <c r="D64" s="14">
        <f>40000+120000</f>
        <v>160000</v>
      </c>
      <c r="E64" s="19">
        <f t="shared" si="0"/>
        <v>2.2773714703625338</v>
      </c>
      <c r="F64" s="19">
        <f t="shared" si="1"/>
        <v>5.8983674530630088</v>
      </c>
    </row>
    <row r="65" spans="2:6" x14ac:dyDescent="0.35">
      <c r="B65" s="23" t="s">
        <v>81</v>
      </c>
      <c r="C65" s="26">
        <f>Area!D70</f>
        <v>407918.83872153139</v>
      </c>
      <c r="D65" s="14">
        <v>120000</v>
      </c>
      <c r="E65" s="19">
        <f t="shared" si="0"/>
        <v>0.29417616596501156</v>
      </c>
      <c r="F65" s="19">
        <f t="shared" si="1"/>
        <v>0.7619130850526844</v>
      </c>
    </row>
    <row r="66" spans="2:6" x14ac:dyDescent="0.35">
      <c r="B66" s="23" t="s">
        <v>82</v>
      </c>
      <c r="C66" s="26">
        <f>Area!D71</f>
        <v>126690.82610872023</v>
      </c>
      <c r="D66" s="14">
        <v>305900</v>
      </c>
      <c r="E66" s="19">
        <f t="shared" si="0"/>
        <v>2.4145394690022046</v>
      </c>
      <c r="F66" s="19">
        <f t="shared" si="1"/>
        <v>6.2536310845377772</v>
      </c>
    </row>
    <row r="67" spans="2:6" x14ac:dyDescent="0.35">
      <c r="B67" s="23" t="s">
        <v>83</v>
      </c>
      <c r="C67" s="26">
        <f>Area!D72</f>
        <v>522405.81196932646</v>
      </c>
      <c r="D67" s="14">
        <v>1628300</v>
      </c>
      <c r="E67" s="19">
        <f t="shared" si="0"/>
        <v>3.1169255063640202</v>
      </c>
      <c r="F67" s="19">
        <f t="shared" si="1"/>
        <v>8.0728033171649471</v>
      </c>
    </row>
  </sheetData>
  <autoFilter ref="B5:F67" xr:uid="{6659AC3A-4381-4EB6-A668-F106FEA610A4}"/>
  <pageMargins left="0.7" right="0.7" top="0.75" bottom="0.75" header="0.3" footer="0.3"/>
  <pageSetup orientation="portrait" horizontalDpi="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B930-3B9E-477F-91AF-D3534BB5C0CE}">
  <sheetPr>
    <pageSetUpPr fitToPage="1"/>
  </sheetPr>
  <dimension ref="A1:Y102"/>
  <sheetViews>
    <sheetView zoomScale="80" zoomScaleNormal="80" workbookViewId="0">
      <selection activeCell="H70" sqref="H70"/>
    </sheetView>
  </sheetViews>
  <sheetFormatPr defaultColWidth="9.1796875" defaultRowHeight="14.5" x14ac:dyDescent="0.35"/>
  <cols>
    <col min="1" max="1" width="32.81640625" style="14" bestFit="1" customWidth="1"/>
    <col min="2" max="2" width="20.81640625" style="14" customWidth="1"/>
    <col min="3" max="3" width="10.7265625" style="14" bestFit="1" customWidth="1"/>
    <col min="4" max="4" width="10.453125" style="14" bestFit="1" customWidth="1"/>
    <col min="5" max="5" width="16" style="14" bestFit="1" customWidth="1"/>
    <col min="6" max="6" width="16" style="14" customWidth="1"/>
    <col min="7" max="7" width="24.81640625" style="14" customWidth="1"/>
    <col min="8" max="11" width="22.54296875" style="14" customWidth="1"/>
    <col min="12" max="12" width="20.7265625" style="14" customWidth="1"/>
    <col min="13" max="13" width="17.7265625" style="14" customWidth="1"/>
    <col min="14" max="14" width="18.7265625" style="14" bestFit="1" customWidth="1"/>
    <col min="15" max="15" width="12" style="14" customWidth="1"/>
    <col min="16" max="16" width="9.1796875" style="14"/>
    <col min="17" max="17" width="20.26953125" style="14" customWidth="1"/>
    <col min="18" max="19" width="9.1796875" style="14"/>
    <col min="20" max="20" width="27.453125" style="14" customWidth="1"/>
    <col min="21" max="21" width="18.26953125" style="14" customWidth="1"/>
    <col min="22" max="22" width="9.1796875" style="14"/>
    <col min="23" max="23" width="16.81640625" style="14" customWidth="1"/>
    <col min="24" max="24" width="14" style="14" customWidth="1"/>
    <col min="25" max="25" width="22.54296875" style="14" customWidth="1"/>
    <col min="26" max="16384" width="9.1796875" style="14"/>
  </cols>
  <sheetData>
    <row r="1" spans="1:25" x14ac:dyDescent="0.35">
      <c r="A1" s="14" t="s">
        <v>229</v>
      </c>
    </row>
    <row r="3" spans="1:25" x14ac:dyDescent="0.35">
      <c r="A3" s="14" t="s">
        <v>230</v>
      </c>
    </row>
    <row r="4" spans="1:25" x14ac:dyDescent="0.35">
      <c r="A4" s="14" t="s">
        <v>231</v>
      </c>
    </row>
    <row r="5" spans="1:25" x14ac:dyDescent="0.35">
      <c r="A5" s="29" t="s">
        <v>232</v>
      </c>
    </row>
    <row r="6" spans="1:25" x14ac:dyDescent="0.35">
      <c r="A6" s="29" t="s">
        <v>233</v>
      </c>
    </row>
    <row r="7" spans="1:25" ht="15.75" customHeight="1" x14ac:dyDescent="0.35"/>
    <row r="8" spans="1:25" ht="21" x14ac:dyDescent="0.5">
      <c r="A8" s="30" t="s">
        <v>234</v>
      </c>
      <c r="B8" s="18"/>
      <c r="H8" s="31"/>
      <c r="I8" s="31"/>
      <c r="J8" s="31"/>
      <c r="K8" s="32">
        <f>SUM(K13:K74)</f>
        <v>28291630</v>
      </c>
      <c r="L8" s="32">
        <f>SUM(L13:L74)</f>
        <v>34043591.499970898</v>
      </c>
      <c r="M8" s="18"/>
      <c r="N8" s="32">
        <f>SUM(N13:N74)</f>
        <v>32894545.656241149</v>
      </c>
      <c r="T8" s="32">
        <f>SUM(T13:T74)</f>
        <v>33469068.57810602</v>
      </c>
      <c r="W8" s="32">
        <f>SUM(W13:W74)</f>
        <v>37854000</v>
      </c>
    </row>
    <row r="9" spans="1:25" ht="21" x14ac:dyDescent="0.5">
      <c r="A9" s="30"/>
      <c r="B9" s="18"/>
      <c r="C9" s="113" t="s">
        <v>235</v>
      </c>
      <c r="D9" s="114"/>
      <c r="E9" s="114"/>
      <c r="F9" s="115"/>
      <c r="G9" s="34" t="s">
        <v>236</v>
      </c>
      <c r="H9" s="116" t="s">
        <v>237</v>
      </c>
      <c r="I9" s="117"/>
      <c r="J9" s="118"/>
      <c r="K9" s="116" t="s">
        <v>238</v>
      </c>
      <c r="L9" s="117"/>
      <c r="M9" s="117"/>
      <c r="N9" s="117"/>
      <c r="O9" s="118"/>
    </row>
    <row r="10" spans="1:25" ht="18.5" x14ac:dyDescent="0.45">
      <c r="A10" s="30"/>
      <c r="B10" s="18"/>
      <c r="C10" s="35"/>
      <c r="F10" s="36"/>
      <c r="G10" s="37" t="s">
        <v>239</v>
      </c>
      <c r="H10" s="35"/>
      <c r="J10" s="36"/>
      <c r="K10" s="35"/>
      <c r="O10" s="36"/>
    </row>
    <row r="11" spans="1:25" ht="21" x14ac:dyDescent="0.5">
      <c r="B11" s="18"/>
      <c r="C11" s="35"/>
      <c r="F11" s="36"/>
      <c r="G11" s="38">
        <v>8</v>
      </c>
      <c r="H11" s="113" t="s">
        <v>235</v>
      </c>
      <c r="I11" s="119"/>
      <c r="J11" s="33" t="s">
        <v>236</v>
      </c>
      <c r="K11" s="35"/>
      <c r="L11" s="120" t="s">
        <v>235</v>
      </c>
      <c r="M11" s="119"/>
      <c r="N11" s="114" t="s">
        <v>236</v>
      </c>
      <c r="O11" s="115"/>
    </row>
    <row r="12" spans="1:25" ht="55.5" x14ac:dyDescent="0.45">
      <c r="A12" s="39" t="s">
        <v>133</v>
      </c>
      <c r="B12" s="40" t="s">
        <v>135</v>
      </c>
      <c r="C12" s="41" t="s">
        <v>240</v>
      </c>
      <c r="D12" s="42" t="s">
        <v>241</v>
      </c>
      <c r="E12" s="42" t="s">
        <v>242</v>
      </c>
      <c r="F12" s="40" t="s">
        <v>243</v>
      </c>
      <c r="G12" s="43" t="s">
        <v>244</v>
      </c>
      <c r="H12" s="41" t="s">
        <v>245</v>
      </c>
      <c r="I12" s="44" t="s">
        <v>246</v>
      </c>
      <c r="J12" s="40" t="s">
        <v>246</v>
      </c>
      <c r="K12" s="41" t="s">
        <v>226</v>
      </c>
      <c r="L12" s="45" t="s">
        <v>247</v>
      </c>
      <c r="M12" s="46" t="s">
        <v>248</v>
      </c>
      <c r="N12" s="42" t="s">
        <v>247</v>
      </c>
      <c r="O12" s="47" t="s">
        <v>248</v>
      </c>
      <c r="Q12" s="47" t="s">
        <v>249</v>
      </c>
      <c r="T12" s="42" t="s">
        <v>250</v>
      </c>
      <c r="U12" s="42" t="s">
        <v>251</v>
      </c>
      <c r="W12" s="42" t="s">
        <v>252</v>
      </c>
      <c r="X12" s="42" t="s">
        <v>251</v>
      </c>
      <c r="Y12" s="42" t="s">
        <v>253</v>
      </c>
    </row>
    <row r="13" spans="1:25" x14ac:dyDescent="0.35">
      <c r="A13" s="14" t="s">
        <v>142</v>
      </c>
      <c r="B13" s="48">
        <f>Area!D11</f>
        <v>835255.96265823639</v>
      </c>
      <c r="C13" s="49">
        <v>3</v>
      </c>
      <c r="D13" s="50">
        <v>5</v>
      </c>
      <c r="E13" s="50">
        <v>3</v>
      </c>
      <c r="F13" s="51">
        <v>1</v>
      </c>
      <c r="G13" s="52">
        <v>0.15</v>
      </c>
      <c r="H13" s="53">
        <f>C13*(D13/3)*(E13/3)*F13</f>
        <v>5</v>
      </c>
      <c r="I13" s="54">
        <f>B13*H13</f>
        <v>4176279.8132911818</v>
      </c>
      <c r="J13" s="55">
        <f>G13*B13*250/$G$11</f>
        <v>3915262.3249604832</v>
      </c>
      <c r="K13" s="56">
        <f>Density!D6</f>
        <v>3536100</v>
      </c>
      <c r="L13" s="57">
        <f>I13</f>
        <v>4176279.8132911818</v>
      </c>
      <c r="M13" s="58">
        <f>(L13-K13)/K13</f>
        <v>0.18104120734458354</v>
      </c>
      <c r="N13" s="59">
        <f>J13</f>
        <v>3915262.3249604832</v>
      </c>
      <c r="O13" s="60">
        <f>(N13-K13)/K13</f>
        <v>0.10722613188554714</v>
      </c>
      <c r="Q13" s="20">
        <f>3836100-Q14-Q33-Q52</f>
        <v>3536100</v>
      </c>
      <c r="R13" s="20">
        <f>K13-Q13</f>
        <v>0</v>
      </c>
      <c r="T13" s="20">
        <f>(L13+N13)/2</f>
        <v>4045771.0691258325</v>
      </c>
      <c r="U13" s="61">
        <f>(T13-K13)/K13</f>
        <v>0.14413366961506532</v>
      </c>
      <c r="W13" s="14">
        <f>10060000-W14-W21-W33-W52</f>
        <v>9740000</v>
      </c>
      <c r="X13" s="62">
        <f>(W13-K13)/K13</f>
        <v>1.7544469896213342</v>
      </c>
      <c r="Y13" s="62">
        <f>(W13-T13)/T13</f>
        <v>1.4074520860382038</v>
      </c>
    </row>
    <row r="14" spans="1:25" x14ac:dyDescent="0.35">
      <c r="A14" s="14" t="s">
        <v>148</v>
      </c>
      <c r="B14" s="48">
        <f>Area!D12</f>
        <v>163302.38469149568</v>
      </c>
      <c r="C14" s="49">
        <v>1</v>
      </c>
      <c r="D14" s="50">
        <v>4</v>
      </c>
      <c r="E14" s="50">
        <v>3</v>
      </c>
      <c r="F14" s="51">
        <v>0.5</v>
      </c>
      <c r="G14" s="52">
        <v>0.02</v>
      </c>
      <c r="H14" s="53">
        <f t="shared" ref="H14:H74" si="0">C14*(D14/3)*(E14/3)*F14</f>
        <v>0.66666666666666663</v>
      </c>
      <c r="I14" s="54">
        <f t="shared" ref="I14:I74" si="1">B14*H14</f>
        <v>108868.25646099712</v>
      </c>
      <c r="J14" s="55">
        <f t="shared" ref="J14:J74" si="2">G14*B14*250/$G$11</f>
        <v>102063.99043218482</v>
      </c>
      <c r="K14" s="56">
        <f>Density!D7</f>
        <v>100000</v>
      </c>
      <c r="L14" s="57">
        <f t="shared" ref="L14:L74" si="3">I14</f>
        <v>108868.25646099712</v>
      </c>
      <c r="M14" s="58">
        <f t="shared" ref="M14:M74" si="4">(L14-K14)/K14</f>
        <v>8.8682564609971162E-2</v>
      </c>
      <c r="N14" s="59">
        <f t="shared" ref="N14:N74" si="5">J14</f>
        <v>102063.99043218482</v>
      </c>
      <c r="O14" s="60">
        <f t="shared" ref="O14:O74" si="6">(N14-K14)/K14</f>
        <v>2.0639904321848153E-2</v>
      </c>
      <c r="Q14" s="63">
        <v>100000</v>
      </c>
      <c r="R14" s="20">
        <f t="shared" ref="R14:R74" si="7">K14-Q14</f>
        <v>0</v>
      </c>
      <c r="T14" s="20">
        <f t="shared" ref="T14:T77" si="8">(L14+N14)/2</f>
        <v>105466.12344659097</v>
      </c>
      <c r="U14" s="61">
        <f t="shared" ref="U14:U74" si="9">(T14-K14)/K14</f>
        <v>5.4661234465909654E-2</v>
      </c>
      <c r="W14" s="63">
        <v>100000</v>
      </c>
      <c r="X14" s="62">
        <f t="shared" ref="X14:X74" si="10">(W14-K14)/K14</f>
        <v>0</v>
      </c>
      <c r="Y14" s="62">
        <f t="shared" ref="Y14:Y74" si="11">(W14-T14)/T14</f>
        <v>-5.1828238944982764E-2</v>
      </c>
    </row>
    <row r="15" spans="1:25" x14ac:dyDescent="0.35">
      <c r="A15" s="23" t="s">
        <v>30</v>
      </c>
      <c r="B15" s="48">
        <f>Area!D13</f>
        <v>391399.8113683454</v>
      </c>
      <c r="C15" s="49">
        <v>2</v>
      </c>
      <c r="D15" s="64">
        <v>2</v>
      </c>
      <c r="E15" s="64">
        <v>2</v>
      </c>
      <c r="F15" s="51">
        <v>1</v>
      </c>
      <c r="G15" s="52">
        <v>0.03</v>
      </c>
      <c r="H15" s="53">
        <f t="shared" si="0"/>
        <v>0.88888888888888884</v>
      </c>
      <c r="I15" s="54">
        <f t="shared" si="1"/>
        <v>347910.94343852921</v>
      </c>
      <c r="J15" s="55">
        <f t="shared" si="2"/>
        <v>366937.32315782382</v>
      </c>
      <c r="K15" s="56">
        <f>Density!D8</f>
        <v>475200</v>
      </c>
      <c r="L15" s="57">
        <f t="shared" si="3"/>
        <v>347910.94343852921</v>
      </c>
      <c r="M15" s="58">
        <f t="shared" si="4"/>
        <v>-0.26786417626572134</v>
      </c>
      <c r="N15" s="59">
        <f t="shared" si="5"/>
        <v>366937.32315782382</v>
      </c>
      <c r="O15" s="60">
        <f t="shared" si="6"/>
        <v>-0.2278254984052529</v>
      </c>
      <c r="Q15" s="14">
        <v>475200</v>
      </c>
      <c r="R15" s="20">
        <f t="shared" si="7"/>
        <v>0</v>
      </c>
      <c r="T15" s="20">
        <f t="shared" si="8"/>
        <v>357424.13329817652</v>
      </c>
      <c r="U15" s="61">
        <f t="shared" si="9"/>
        <v>-0.24784483733548712</v>
      </c>
      <c r="W15" s="14">
        <v>325000</v>
      </c>
      <c r="X15" s="62">
        <f t="shared" si="10"/>
        <v>-0.31607744107744107</v>
      </c>
      <c r="Y15" s="62">
        <f t="shared" si="11"/>
        <v>-9.0716127640791108E-2</v>
      </c>
    </row>
    <row r="16" spans="1:25" x14ac:dyDescent="0.35">
      <c r="A16" s="23" t="s">
        <v>31</v>
      </c>
      <c r="B16" s="48">
        <f>Area!D14</f>
        <v>94866.414228296635</v>
      </c>
      <c r="C16" s="49">
        <v>2</v>
      </c>
      <c r="D16" s="64">
        <v>4</v>
      </c>
      <c r="E16" s="64">
        <v>3</v>
      </c>
      <c r="F16" s="51">
        <v>1</v>
      </c>
      <c r="G16" s="52">
        <v>0.08</v>
      </c>
      <c r="H16" s="53">
        <f t="shared" si="0"/>
        <v>2.6666666666666665</v>
      </c>
      <c r="I16" s="54">
        <f t="shared" si="1"/>
        <v>252977.10460879101</v>
      </c>
      <c r="J16" s="55">
        <f t="shared" si="2"/>
        <v>237166.0355707416</v>
      </c>
      <c r="K16" s="56">
        <f>Density!D9</f>
        <v>123880</v>
      </c>
      <c r="L16" s="57">
        <f t="shared" si="3"/>
        <v>252977.10460879101</v>
      </c>
      <c r="M16" s="58">
        <f t="shared" si="4"/>
        <v>1.0421141799224332</v>
      </c>
      <c r="N16" s="59">
        <f t="shared" si="5"/>
        <v>237166.0355707416</v>
      </c>
      <c r="O16" s="60">
        <f t="shared" si="6"/>
        <v>0.91448204367728125</v>
      </c>
      <c r="Q16" s="14">
        <v>123800</v>
      </c>
      <c r="R16" s="20">
        <f t="shared" si="7"/>
        <v>80</v>
      </c>
      <c r="T16" s="20">
        <f t="shared" si="8"/>
        <v>245071.57008976629</v>
      </c>
      <c r="U16" s="61">
        <f t="shared" si="9"/>
        <v>0.97829811179985704</v>
      </c>
      <c r="W16" s="14">
        <v>125000</v>
      </c>
      <c r="X16" s="62">
        <f t="shared" si="10"/>
        <v>9.0410074265418142E-3</v>
      </c>
      <c r="Y16" s="62">
        <f t="shared" si="11"/>
        <v>-0.48994491709416049</v>
      </c>
    </row>
    <row r="17" spans="1:25" x14ac:dyDescent="0.35">
      <c r="A17" s="23" t="s">
        <v>32</v>
      </c>
      <c r="B17" s="48">
        <f>Area!D15</f>
        <v>165257.6981333014</v>
      </c>
      <c r="C17" s="49">
        <v>2</v>
      </c>
      <c r="D17" s="64">
        <v>1</v>
      </c>
      <c r="E17" s="64">
        <v>1</v>
      </c>
      <c r="F17" s="51">
        <v>1</v>
      </c>
      <c r="G17" s="52">
        <v>0.01</v>
      </c>
      <c r="H17" s="53">
        <f t="shared" si="0"/>
        <v>0.22222222222222221</v>
      </c>
      <c r="I17" s="54">
        <f t="shared" si="1"/>
        <v>36723.932918511418</v>
      </c>
      <c r="J17" s="55">
        <f t="shared" si="2"/>
        <v>51643.030666656683</v>
      </c>
      <c r="K17" s="56">
        <f>Density!D10</f>
        <v>110000</v>
      </c>
      <c r="L17" s="57">
        <f t="shared" si="3"/>
        <v>36723.932918511418</v>
      </c>
      <c r="M17" s="58">
        <f t="shared" si="4"/>
        <v>-0.66614606437716894</v>
      </c>
      <c r="N17" s="59">
        <f t="shared" si="5"/>
        <v>51643.030666656683</v>
      </c>
      <c r="O17" s="60">
        <f t="shared" si="6"/>
        <v>-0.53051790303039381</v>
      </c>
      <c r="Q17" s="14">
        <v>110000</v>
      </c>
      <c r="R17" s="20">
        <f t="shared" si="7"/>
        <v>0</v>
      </c>
      <c r="T17" s="20">
        <f t="shared" si="8"/>
        <v>44183.481792584047</v>
      </c>
      <c r="U17" s="61">
        <f t="shared" si="9"/>
        <v>-0.59833198370378138</v>
      </c>
      <c r="W17" s="14">
        <v>63000</v>
      </c>
      <c r="X17" s="62">
        <f t="shared" si="10"/>
        <v>-0.42727272727272725</v>
      </c>
      <c r="Y17" s="62">
        <f t="shared" si="11"/>
        <v>0.4258722365011578</v>
      </c>
    </row>
    <row r="18" spans="1:25" x14ac:dyDescent="0.35">
      <c r="A18" s="23" t="s">
        <v>33</v>
      </c>
      <c r="B18" s="48">
        <f>Area!D16</f>
        <v>139501.50038261959</v>
      </c>
      <c r="C18" s="49">
        <v>1</v>
      </c>
      <c r="D18" s="64">
        <v>2</v>
      </c>
      <c r="E18" s="64">
        <v>3</v>
      </c>
      <c r="F18" s="51">
        <v>1</v>
      </c>
      <c r="G18" s="52">
        <v>0.03</v>
      </c>
      <c r="H18" s="53">
        <f t="shared" si="0"/>
        <v>0.66666666666666663</v>
      </c>
      <c r="I18" s="54">
        <f t="shared" si="1"/>
        <v>93001.000255079722</v>
      </c>
      <c r="J18" s="55">
        <f t="shared" si="2"/>
        <v>130782.65660870585</v>
      </c>
      <c r="K18" s="56">
        <f>Density!D11</f>
        <v>310000</v>
      </c>
      <c r="L18" s="57">
        <f t="shared" si="3"/>
        <v>93001.000255079722</v>
      </c>
      <c r="M18" s="58">
        <f t="shared" si="4"/>
        <v>-0.69999677337071065</v>
      </c>
      <c r="N18" s="59">
        <f t="shared" si="5"/>
        <v>130782.65660870585</v>
      </c>
      <c r="O18" s="60">
        <f t="shared" si="6"/>
        <v>-0.57812046255256178</v>
      </c>
      <c r="Q18" s="14">
        <v>310000</v>
      </c>
      <c r="R18" s="20">
        <f t="shared" si="7"/>
        <v>0</v>
      </c>
      <c r="T18" s="20">
        <f t="shared" si="8"/>
        <v>111891.82843189279</v>
      </c>
      <c r="U18" s="61">
        <f t="shared" si="9"/>
        <v>-0.63905861796163621</v>
      </c>
      <c r="W18" s="14">
        <v>165000</v>
      </c>
      <c r="X18" s="62">
        <f t="shared" si="10"/>
        <v>-0.46774193548387094</v>
      </c>
      <c r="Y18" s="62">
        <f t="shared" si="11"/>
        <v>0.47463851750741132</v>
      </c>
    </row>
    <row r="19" spans="1:25" x14ac:dyDescent="0.35">
      <c r="A19" s="23" t="s">
        <v>167</v>
      </c>
      <c r="B19" s="48">
        <f>Area!D17</f>
        <v>207870.04624437704</v>
      </c>
      <c r="C19" s="49">
        <v>2</v>
      </c>
      <c r="D19" s="64">
        <v>1</v>
      </c>
      <c r="E19" s="64">
        <v>1</v>
      </c>
      <c r="F19" s="51">
        <v>1</v>
      </c>
      <c r="G19" s="52">
        <v>0.01</v>
      </c>
      <c r="H19" s="53">
        <f t="shared" si="0"/>
        <v>0.22222222222222221</v>
      </c>
      <c r="I19" s="54">
        <f t="shared" si="1"/>
        <v>46193.343609861564</v>
      </c>
      <c r="J19" s="55">
        <f t="shared" si="2"/>
        <v>64959.389451367824</v>
      </c>
      <c r="K19" s="56">
        <f>Density!D12</f>
        <v>26500</v>
      </c>
      <c r="L19" s="57">
        <f t="shared" si="3"/>
        <v>46193.343609861564</v>
      </c>
      <c r="M19" s="58">
        <f t="shared" si="4"/>
        <v>0.74314504188156849</v>
      </c>
      <c r="N19" s="59">
        <f t="shared" si="5"/>
        <v>64959.389451367824</v>
      </c>
      <c r="O19" s="60">
        <f t="shared" si="6"/>
        <v>1.4512977151459556</v>
      </c>
      <c r="Q19" s="14">
        <v>26500</v>
      </c>
      <c r="R19" s="20">
        <f t="shared" si="7"/>
        <v>0</v>
      </c>
      <c r="T19" s="20">
        <f t="shared" si="8"/>
        <v>55576.366530614694</v>
      </c>
      <c r="U19" s="61">
        <f t="shared" si="9"/>
        <v>1.0972213785137621</v>
      </c>
      <c r="W19" s="14">
        <v>21000</v>
      </c>
      <c r="X19" s="62">
        <f t="shared" si="10"/>
        <v>-0.20754716981132076</v>
      </c>
      <c r="Y19" s="62">
        <f t="shared" si="11"/>
        <v>-0.6221415448519475</v>
      </c>
    </row>
    <row r="20" spans="1:25" x14ac:dyDescent="0.35">
      <c r="A20" s="23" t="s">
        <v>35</v>
      </c>
      <c r="B20" s="48">
        <f>Area!D18</f>
        <v>59131.375464261655</v>
      </c>
      <c r="C20" s="49">
        <v>5</v>
      </c>
      <c r="D20" s="64">
        <v>5</v>
      </c>
      <c r="E20" s="64">
        <v>4</v>
      </c>
      <c r="F20" s="51">
        <v>0.5</v>
      </c>
      <c r="G20" s="52">
        <v>0.08</v>
      </c>
      <c r="H20" s="53">
        <f t="shared" si="0"/>
        <v>5.5555555555555554</v>
      </c>
      <c r="I20" s="54">
        <f t="shared" si="1"/>
        <v>328507.64146812027</v>
      </c>
      <c r="J20" s="55">
        <f t="shared" si="2"/>
        <v>147828.43866065415</v>
      </c>
      <c r="K20" s="56">
        <f>Density!D13</f>
        <v>140000</v>
      </c>
      <c r="L20" s="57">
        <f t="shared" si="3"/>
        <v>328507.64146812027</v>
      </c>
      <c r="M20" s="58">
        <f t="shared" si="4"/>
        <v>1.3464831533437163</v>
      </c>
      <c r="N20" s="59">
        <f t="shared" si="5"/>
        <v>147828.43866065415</v>
      </c>
      <c r="O20" s="60">
        <f t="shared" si="6"/>
        <v>5.5917419004672515E-2</v>
      </c>
      <c r="Q20" s="14">
        <v>140000</v>
      </c>
      <c r="R20" s="20">
        <f t="shared" si="7"/>
        <v>0</v>
      </c>
      <c r="T20" s="20">
        <f t="shared" si="8"/>
        <v>238168.0400643872</v>
      </c>
      <c r="U20" s="61">
        <f t="shared" si="9"/>
        <v>0.70120028617419428</v>
      </c>
      <c r="W20" s="14">
        <v>48000</v>
      </c>
      <c r="X20" s="62">
        <f t="shared" si="10"/>
        <v>-0.65714285714285714</v>
      </c>
      <c r="Y20" s="62">
        <f t="shared" si="11"/>
        <v>-0.79846162404064158</v>
      </c>
    </row>
    <row r="21" spans="1:25" x14ac:dyDescent="0.35">
      <c r="A21" s="23" t="s">
        <v>172</v>
      </c>
      <c r="B21" s="48">
        <f>Area!D19</f>
        <v>20969.051048329959</v>
      </c>
      <c r="C21" s="49">
        <v>3</v>
      </c>
      <c r="D21" s="64">
        <v>5</v>
      </c>
      <c r="E21" s="64">
        <v>3</v>
      </c>
      <c r="F21" s="51">
        <v>1</v>
      </c>
      <c r="G21" s="52">
        <v>0.15</v>
      </c>
      <c r="H21" s="53">
        <f t="shared" si="0"/>
        <v>5</v>
      </c>
      <c r="I21" s="54">
        <f t="shared" si="1"/>
        <v>104845.25524164979</v>
      </c>
      <c r="J21" s="55">
        <f t="shared" si="2"/>
        <v>98292.426789046673</v>
      </c>
      <c r="K21" s="56">
        <f>Density!D14</f>
        <v>20000</v>
      </c>
      <c r="L21" s="57">
        <f t="shared" si="3"/>
        <v>104845.25524164979</v>
      </c>
      <c r="M21" s="58">
        <f t="shared" si="4"/>
        <v>4.2422627620824898</v>
      </c>
      <c r="N21" s="59">
        <f t="shared" si="5"/>
        <v>98292.426789046673</v>
      </c>
      <c r="O21" s="60">
        <f t="shared" si="6"/>
        <v>3.9146213394523337</v>
      </c>
      <c r="Q21" s="63">
        <v>20000</v>
      </c>
      <c r="R21" s="20">
        <f t="shared" si="7"/>
        <v>0</v>
      </c>
      <c r="T21" s="20">
        <f t="shared" si="8"/>
        <v>101568.84101534824</v>
      </c>
      <c r="U21" s="61">
        <f t="shared" si="9"/>
        <v>4.0784420507674124</v>
      </c>
      <c r="W21" s="63">
        <v>20000</v>
      </c>
      <c r="X21" s="62">
        <f t="shared" si="10"/>
        <v>0</v>
      </c>
      <c r="Y21" s="62">
        <f t="shared" si="11"/>
        <v>-0.80308921712538039</v>
      </c>
    </row>
    <row r="22" spans="1:25" x14ac:dyDescent="0.35">
      <c r="A22" s="23" t="s">
        <v>174</v>
      </c>
      <c r="B22" s="48">
        <f>Area!D20</f>
        <v>12675.825071016181</v>
      </c>
      <c r="C22" s="49">
        <v>3</v>
      </c>
      <c r="D22" s="64">
        <v>4</v>
      </c>
      <c r="E22" s="64">
        <v>3</v>
      </c>
      <c r="F22" s="51">
        <v>2</v>
      </c>
      <c r="G22" s="52">
        <v>0.3</v>
      </c>
      <c r="H22" s="53">
        <f t="shared" si="0"/>
        <v>8</v>
      </c>
      <c r="I22" s="54">
        <f t="shared" si="1"/>
        <v>101406.60056812945</v>
      </c>
      <c r="J22" s="55">
        <f t="shared" si="2"/>
        <v>118835.86004077669</v>
      </c>
      <c r="K22" s="56">
        <f>Density!D15</f>
        <v>128000</v>
      </c>
      <c r="L22" s="57">
        <f t="shared" si="3"/>
        <v>101406.60056812945</v>
      </c>
      <c r="M22" s="58">
        <f t="shared" si="4"/>
        <v>-0.20776093306148868</v>
      </c>
      <c r="N22" s="59">
        <f t="shared" si="5"/>
        <v>118835.86004077669</v>
      </c>
      <c r="O22" s="60">
        <f t="shared" si="6"/>
        <v>-7.1594843431432076E-2</v>
      </c>
      <c r="Q22" s="14">
        <v>128000</v>
      </c>
      <c r="R22" s="20">
        <f t="shared" si="7"/>
        <v>0</v>
      </c>
      <c r="T22" s="20">
        <f t="shared" si="8"/>
        <v>110121.23030445307</v>
      </c>
      <c r="U22" s="61">
        <f t="shared" si="9"/>
        <v>-0.13967788824646038</v>
      </c>
      <c r="W22" s="14">
        <v>121000</v>
      </c>
      <c r="X22" s="62">
        <f t="shared" si="10"/>
        <v>-5.46875E-2</v>
      </c>
      <c r="Y22" s="62">
        <f t="shared" si="11"/>
        <v>9.8789031556134138E-2</v>
      </c>
    </row>
    <row r="23" spans="1:25" x14ac:dyDescent="0.35">
      <c r="A23" s="23" t="s">
        <v>37</v>
      </c>
      <c r="B23" s="48">
        <f>Area!D21</f>
        <v>162021.31726410578</v>
      </c>
      <c r="C23" s="49">
        <v>4</v>
      </c>
      <c r="D23" s="64">
        <v>3</v>
      </c>
      <c r="E23" s="64">
        <v>3</v>
      </c>
      <c r="F23" s="51">
        <v>1</v>
      </c>
      <c r="G23" s="52">
        <v>0.2</v>
      </c>
      <c r="H23" s="53">
        <f t="shared" si="0"/>
        <v>4</v>
      </c>
      <c r="I23" s="54">
        <f t="shared" si="1"/>
        <v>648085.2690564231</v>
      </c>
      <c r="J23" s="55">
        <f t="shared" si="2"/>
        <v>1012633.2329006612</v>
      </c>
      <c r="K23" s="56">
        <f>Density!D16</f>
        <v>1960000</v>
      </c>
      <c r="L23" s="57">
        <f t="shared" si="3"/>
        <v>648085.2690564231</v>
      </c>
      <c r="M23" s="58">
        <f t="shared" si="4"/>
        <v>-0.66934425048141677</v>
      </c>
      <c r="N23" s="59">
        <f t="shared" si="5"/>
        <v>1012633.2329006612</v>
      </c>
      <c r="O23" s="60">
        <f t="shared" si="6"/>
        <v>-0.4833503913772137</v>
      </c>
      <c r="Q23" s="14">
        <v>1960000</v>
      </c>
      <c r="R23" s="20">
        <f t="shared" si="7"/>
        <v>0</v>
      </c>
      <c r="T23" s="20">
        <f t="shared" si="8"/>
        <v>830359.25097854214</v>
      </c>
      <c r="U23" s="61">
        <f t="shared" si="9"/>
        <v>-0.57634732092931529</v>
      </c>
      <c r="W23" s="14">
        <v>1185000</v>
      </c>
      <c r="X23" s="62">
        <f t="shared" si="10"/>
        <v>-0.39540816326530615</v>
      </c>
      <c r="Y23" s="62">
        <f t="shared" si="11"/>
        <v>0.42709315107109269</v>
      </c>
    </row>
    <row r="24" spans="1:25" x14ac:dyDescent="0.35">
      <c r="A24" s="23" t="s">
        <v>38</v>
      </c>
      <c r="B24" s="48">
        <f>Area!D22</f>
        <v>175169.11454521297</v>
      </c>
      <c r="C24" s="49">
        <v>3</v>
      </c>
      <c r="D24" s="64">
        <v>2</v>
      </c>
      <c r="E24" s="64">
        <v>2</v>
      </c>
      <c r="F24" s="51">
        <v>1</v>
      </c>
      <c r="G24" s="52">
        <v>0.04</v>
      </c>
      <c r="H24" s="53">
        <f t="shared" si="0"/>
        <v>1.3333333333333333</v>
      </c>
      <c r="I24" s="54">
        <f t="shared" si="1"/>
        <v>233558.81939361728</v>
      </c>
      <c r="J24" s="55">
        <f t="shared" si="2"/>
        <v>218961.39318151624</v>
      </c>
      <c r="K24" s="56">
        <f>Density!D17</f>
        <v>144500</v>
      </c>
      <c r="L24" s="57">
        <f t="shared" si="3"/>
        <v>233558.81939361728</v>
      </c>
      <c r="M24" s="58">
        <f t="shared" si="4"/>
        <v>0.61632400964441025</v>
      </c>
      <c r="N24" s="59">
        <f t="shared" si="5"/>
        <v>218961.39318151624</v>
      </c>
      <c r="O24" s="60">
        <f t="shared" si="6"/>
        <v>0.51530375904163483</v>
      </c>
      <c r="Q24" s="14">
        <v>144500</v>
      </c>
      <c r="R24" s="20">
        <f t="shared" si="7"/>
        <v>0</v>
      </c>
      <c r="T24" s="20">
        <f t="shared" si="8"/>
        <v>226260.10628756677</v>
      </c>
      <c r="U24" s="61">
        <f t="shared" si="9"/>
        <v>0.5658138843430226</v>
      </c>
      <c r="W24" s="14">
        <v>295000</v>
      </c>
      <c r="X24" s="62">
        <f t="shared" si="10"/>
        <v>1.0415224913494809</v>
      </c>
      <c r="Y24" s="62">
        <f t="shared" si="11"/>
        <v>0.30380916388798923</v>
      </c>
    </row>
    <row r="25" spans="1:25" x14ac:dyDescent="0.35">
      <c r="A25" s="23" t="s">
        <v>39</v>
      </c>
      <c r="B25" s="48">
        <f>Area!D23</f>
        <v>526586.13725870405</v>
      </c>
      <c r="C25" s="49">
        <v>3</v>
      </c>
      <c r="D25" s="64">
        <v>3</v>
      </c>
      <c r="E25" s="64">
        <v>3</v>
      </c>
      <c r="F25" s="51">
        <v>1</v>
      </c>
      <c r="G25" s="52">
        <v>0.15</v>
      </c>
      <c r="H25" s="53">
        <f t="shared" si="0"/>
        <v>3</v>
      </c>
      <c r="I25" s="54">
        <f t="shared" si="1"/>
        <v>1579758.4117761122</v>
      </c>
      <c r="J25" s="55">
        <f t="shared" si="2"/>
        <v>2468372.518400175</v>
      </c>
      <c r="K25" s="56">
        <f>Density!D18</f>
        <v>1481800</v>
      </c>
      <c r="L25" s="57">
        <f t="shared" si="3"/>
        <v>1579758.4117761122</v>
      </c>
      <c r="M25" s="58">
        <f t="shared" si="4"/>
        <v>6.610771479019581E-2</v>
      </c>
      <c r="N25" s="59">
        <f t="shared" si="5"/>
        <v>2468372.518400175</v>
      </c>
      <c r="O25" s="60">
        <f t="shared" si="6"/>
        <v>0.66579330435968076</v>
      </c>
      <c r="Q25" s="14">
        <v>1481800</v>
      </c>
      <c r="R25" s="20">
        <f t="shared" si="7"/>
        <v>0</v>
      </c>
      <c r="T25" s="20">
        <f t="shared" si="8"/>
        <v>2024065.4650881435</v>
      </c>
      <c r="U25" s="61">
        <f t="shared" si="9"/>
        <v>0.36595050957493824</v>
      </c>
      <c r="W25" s="14">
        <v>1849000</v>
      </c>
      <c r="X25" s="62">
        <f t="shared" si="10"/>
        <v>0.24780672155486572</v>
      </c>
      <c r="Y25" s="62">
        <f t="shared" si="11"/>
        <v>-8.6491997471297086E-2</v>
      </c>
    </row>
    <row r="26" spans="1:25" x14ac:dyDescent="0.35">
      <c r="A26" s="23" t="s">
        <v>40</v>
      </c>
      <c r="B26" s="48">
        <f>Area!D24</f>
        <v>81988.315352955731</v>
      </c>
      <c r="C26" s="49">
        <v>0.5</v>
      </c>
      <c r="D26" s="64">
        <v>4</v>
      </c>
      <c r="E26" s="64">
        <v>3</v>
      </c>
      <c r="F26" s="51">
        <v>1</v>
      </c>
      <c r="G26" s="52">
        <v>0.03</v>
      </c>
      <c r="H26" s="53">
        <f t="shared" si="0"/>
        <v>0.66666666666666663</v>
      </c>
      <c r="I26" s="54">
        <f t="shared" si="1"/>
        <v>54658.876901970485</v>
      </c>
      <c r="J26" s="55">
        <f t="shared" si="2"/>
        <v>76864.045643395992</v>
      </c>
      <c r="K26" s="56">
        <f>Density!D19</f>
        <v>70000</v>
      </c>
      <c r="L26" s="57">
        <f t="shared" si="3"/>
        <v>54658.876901970485</v>
      </c>
      <c r="M26" s="58">
        <f t="shared" si="4"/>
        <v>-0.21915890140042163</v>
      </c>
      <c r="N26" s="59">
        <f t="shared" si="5"/>
        <v>76864.045643395992</v>
      </c>
      <c r="O26" s="60">
        <f t="shared" si="6"/>
        <v>9.8057794905657025E-2</v>
      </c>
      <c r="Q26" s="14">
        <v>70000</v>
      </c>
      <c r="R26" s="20">
        <f t="shared" si="7"/>
        <v>0</v>
      </c>
      <c r="T26" s="20">
        <f t="shared" si="8"/>
        <v>65761.461272683242</v>
      </c>
      <c r="U26" s="61">
        <f t="shared" si="9"/>
        <v>-6.0550553247382261E-2</v>
      </c>
      <c r="W26" s="14">
        <v>287000</v>
      </c>
      <c r="X26" s="62">
        <f t="shared" si="10"/>
        <v>3.1</v>
      </c>
      <c r="Y26" s="62">
        <f t="shared" si="11"/>
        <v>3.364258251651981</v>
      </c>
    </row>
    <row r="27" spans="1:25" x14ac:dyDescent="0.35">
      <c r="A27" s="23" t="s">
        <v>41</v>
      </c>
      <c r="B27" s="48">
        <f>Area!D25</f>
        <v>110778.62016850844</v>
      </c>
      <c r="C27" s="49">
        <v>4</v>
      </c>
      <c r="D27" s="64">
        <v>4</v>
      </c>
      <c r="E27" s="64">
        <v>3</v>
      </c>
      <c r="F27" s="51">
        <v>1</v>
      </c>
      <c r="G27" s="52">
        <v>0.15</v>
      </c>
      <c r="H27" s="53">
        <f t="shared" si="0"/>
        <v>5.333333333333333</v>
      </c>
      <c r="I27" s="54">
        <f t="shared" si="1"/>
        <v>590819.30756537826</v>
      </c>
      <c r="J27" s="55">
        <f t="shared" si="2"/>
        <v>519274.78203988326</v>
      </c>
      <c r="K27" s="56">
        <f>Density!D20</f>
        <v>254600</v>
      </c>
      <c r="L27" s="57">
        <f t="shared" si="3"/>
        <v>590819.30756537826</v>
      </c>
      <c r="M27" s="58">
        <f t="shared" si="4"/>
        <v>1.3205785843102054</v>
      </c>
      <c r="N27" s="59">
        <f t="shared" si="5"/>
        <v>519274.78203988326</v>
      </c>
      <c r="O27" s="60">
        <f t="shared" si="6"/>
        <v>1.0395710213663913</v>
      </c>
      <c r="Q27" s="14">
        <v>254600</v>
      </c>
      <c r="R27" s="20">
        <f t="shared" si="7"/>
        <v>0</v>
      </c>
      <c r="T27" s="20">
        <f t="shared" si="8"/>
        <v>555047.04480263079</v>
      </c>
      <c r="U27" s="61">
        <f t="shared" si="9"/>
        <v>1.1800748028382984</v>
      </c>
      <c r="W27" s="14">
        <v>302000</v>
      </c>
      <c r="X27" s="62">
        <f t="shared" si="10"/>
        <v>0.18617439120188531</v>
      </c>
      <c r="Y27" s="62">
        <f t="shared" si="11"/>
        <v>-0.45590197654797315</v>
      </c>
    </row>
    <row r="28" spans="1:25" x14ac:dyDescent="0.35">
      <c r="A28" s="23" t="s">
        <v>181</v>
      </c>
      <c r="B28" s="48">
        <f>Area!D26</f>
        <v>37353.229198632791</v>
      </c>
      <c r="C28" s="49">
        <v>3</v>
      </c>
      <c r="D28" s="64">
        <v>3</v>
      </c>
      <c r="E28" s="64">
        <v>3</v>
      </c>
      <c r="F28" s="51">
        <v>1</v>
      </c>
      <c r="G28" s="52">
        <v>0.15</v>
      </c>
      <c r="H28" s="53">
        <f t="shared" si="0"/>
        <v>3</v>
      </c>
      <c r="I28" s="54">
        <f t="shared" si="1"/>
        <v>112059.68759589837</v>
      </c>
      <c r="J28" s="55">
        <f t="shared" si="2"/>
        <v>175093.26186859122</v>
      </c>
      <c r="K28" s="56">
        <f>Density!D21</f>
        <v>100000</v>
      </c>
      <c r="L28" s="57">
        <f t="shared" si="3"/>
        <v>112059.68759589837</v>
      </c>
      <c r="M28" s="58">
        <f t="shared" si="4"/>
        <v>0.12059687595898373</v>
      </c>
      <c r="N28" s="59">
        <f t="shared" si="5"/>
        <v>175093.26186859122</v>
      </c>
      <c r="O28" s="60">
        <f t="shared" si="6"/>
        <v>0.75093261868591221</v>
      </c>
      <c r="Q28" s="14">
        <f>160000-40000-20000</f>
        <v>100000</v>
      </c>
      <c r="R28" s="20">
        <f t="shared" si="7"/>
        <v>0</v>
      </c>
      <c r="T28" s="20">
        <f t="shared" si="8"/>
        <v>143576.47473224479</v>
      </c>
      <c r="U28" s="61">
        <f t="shared" si="9"/>
        <v>0.43576474732244797</v>
      </c>
      <c r="W28" s="14">
        <v>257000</v>
      </c>
      <c r="X28" s="62">
        <f t="shared" si="10"/>
        <v>1.57</v>
      </c>
      <c r="Y28" s="62">
        <f t="shared" si="11"/>
        <v>0.78998683788049739</v>
      </c>
    </row>
    <row r="29" spans="1:25" x14ac:dyDescent="0.35">
      <c r="A29" s="23" t="s">
        <v>183</v>
      </c>
      <c r="B29" s="48">
        <f>Area!D27</f>
        <v>10383.388622002616</v>
      </c>
      <c r="C29" s="49">
        <v>4</v>
      </c>
      <c r="D29" s="64">
        <v>3</v>
      </c>
      <c r="E29" s="64">
        <v>3</v>
      </c>
      <c r="F29" s="51">
        <v>1</v>
      </c>
      <c r="G29" s="52">
        <v>0.15</v>
      </c>
      <c r="H29" s="53">
        <f t="shared" si="0"/>
        <v>4</v>
      </c>
      <c r="I29" s="54">
        <f t="shared" si="1"/>
        <v>41533.554488010464</v>
      </c>
      <c r="J29" s="55">
        <f t="shared" si="2"/>
        <v>48672.134165637261</v>
      </c>
      <c r="K29" s="56">
        <f>Density!D22</f>
        <v>20000</v>
      </c>
      <c r="L29" s="57">
        <f t="shared" si="3"/>
        <v>41533.554488010464</v>
      </c>
      <c r="M29" s="58">
        <f t="shared" si="4"/>
        <v>1.0766777244005232</v>
      </c>
      <c r="N29" s="59">
        <f t="shared" si="5"/>
        <v>48672.134165637261</v>
      </c>
      <c r="O29" s="60">
        <f t="shared" si="6"/>
        <v>1.4336067082818631</v>
      </c>
      <c r="Q29" s="14">
        <v>20000</v>
      </c>
      <c r="R29" s="20">
        <f t="shared" si="7"/>
        <v>0</v>
      </c>
      <c r="T29" s="20">
        <f t="shared" si="8"/>
        <v>45102.844326823863</v>
      </c>
      <c r="U29" s="61">
        <f t="shared" si="9"/>
        <v>1.2551422163411932</v>
      </c>
      <c r="W29" s="63">
        <f>20000</f>
        <v>20000</v>
      </c>
      <c r="X29" s="62">
        <f t="shared" si="10"/>
        <v>0</v>
      </c>
      <c r="Y29" s="62">
        <f t="shared" si="11"/>
        <v>-0.55656898586980097</v>
      </c>
    </row>
    <row r="30" spans="1:25" x14ac:dyDescent="0.35">
      <c r="A30" s="23" t="s">
        <v>186</v>
      </c>
      <c r="B30" s="48">
        <f>Area!D28</f>
        <v>164920.57512609352</v>
      </c>
      <c r="C30" s="49">
        <v>1</v>
      </c>
      <c r="D30" s="64">
        <v>3</v>
      </c>
      <c r="E30" s="64">
        <v>2</v>
      </c>
      <c r="F30" s="51">
        <v>1</v>
      </c>
      <c r="G30" s="52">
        <v>0.05</v>
      </c>
      <c r="H30" s="53">
        <f t="shared" si="0"/>
        <v>0.66666666666666663</v>
      </c>
      <c r="I30" s="54">
        <f t="shared" si="1"/>
        <v>109947.05008406234</v>
      </c>
      <c r="J30" s="55">
        <f t="shared" si="2"/>
        <v>257688.39863452115</v>
      </c>
      <c r="K30" s="56">
        <f>Density!D23</f>
        <v>250000</v>
      </c>
      <c r="L30" s="57">
        <f t="shared" si="3"/>
        <v>109947.05008406234</v>
      </c>
      <c r="M30" s="58">
        <f t="shared" si="4"/>
        <v>-0.56021179966375068</v>
      </c>
      <c r="N30" s="59">
        <f t="shared" si="5"/>
        <v>257688.39863452115</v>
      </c>
      <c r="O30" s="60">
        <f t="shared" si="6"/>
        <v>3.0753594538084579E-2</v>
      </c>
      <c r="Q30" s="63">
        <v>250000</v>
      </c>
      <c r="R30" s="20">
        <f t="shared" si="7"/>
        <v>0</v>
      </c>
      <c r="T30" s="20">
        <f t="shared" si="8"/>
        <v>183817.72435929175</v>
      </c>
      <c r="U30" s="61">
        <f t="shared" si="9"/>
        <v>-0.264729102562833</v>
      </c>
      <c r="W30" s="63">
        <v>250000</v>
      </c>
      <c r="X30" s="62">
        <f t="shared" si="10"/>
        <v>0</v>
      </c>
      <c r="Y30" s="62">
        <f t="shared" si="11"/>
        <v>0.36004294945653764</v>
      </c>
    </row>
    <row r="31" spans="1:25" x14ac:dyDescent="0.35">
      <c r="A31" s="23" t="s">
        <v>188</v>
      </c>
      <c r="B31" s="48">
        <f>Area!D29</f>
        <v>66885.204630042834</v>
      </c>
      <c r="C31" s="49">
        <v>4</v>
      </c>
      <c r="D31" s="64">
        <v>4</v>
      </c>
      <c r="E31" s="64">
        <v>3</v>
      </c>
      <c r="F31" s="51">
        <v>1</v>
      </c>
      <c r="G31" s="52">
        <v>0.15</v>
      </c>
      <c r="H31" s="53">
        <f t="shared" si="0"/>
        <v>5.333333333333333</v>
      </c>
      <c r="I31" s="54">
        <f t="shared" si="1"/>
        <v>356721.09136022843</v>
      </c>
      <c r="J31" s="55">
        <f t="shared" si="2"/>
        <v>313524.39670332574</v>
      </c>
      <c r="K31" s="56">
        <f>Density!D24</f>
        <v>46000</v>
      </c>
      <c r="L31" s="57">
        <f t="shared" si="3"/>
        <v>356721.09136022843</v>
      </c>
      <c r="M31" s="58">
        <f t="shared" si="4"/>
        <v>6.7548063339180091</v>
      </c>
      <c r="N31" s="59">
        <f t="shared" si="5"/>
        <v>313524.39670332574</v>
      </c>
      <c r="O31" s="60">
        <f t="shared" si="6"/>
        <v>5.8157477544201246</v>
      </c>
      <c r="Q31" s="14">
        <v>46000</v>
      </c>
      <c r="R31" s="20">
        <f t="shared" si="7"/>
        <v>0</v>
      </c>
      <c r="T31" s="20">
        <f t="shared" si="8"/>
        <v>335122.74403177708</v>
      </c>
      <c r="U31" s="61">
        <f t="shared" si="9"/>
        <v>6.2852770441690673</v>
      </c>
      <c r="W31" s="14">
        <v>52000</v>
      </c>
      <c r="X31" s="62">
        <f t="shared" si="10"/>
        <v>0.13043478260869565</v>
      </c>
      <c r="Y31" s="62">
        <f t="shared" si="11"/>
        <v>-0.844832972616537</v>
      </c>
    </row>
    <row r="32" spans="1:25" x14ac:dyDescent="0.35">
      <c r="A32" s="23" t="s">
        <v>44</v>
      </c>
      <c r="B32" s="48">
        <f>Area!D30</f>
        <v>238548.23990029385</v>
      </c>
      <c r="C32" s="49">
        <v>3</v>
      </c>
      <c r="D32" s="64">
        <v>1</v>
      </c>
      <c r="E32" s="64">
        <v>2</v>
      </c>
      <c r="F32" s="51">
        <v>1</v>
      </c>
      <c r="G32" s="52">
        <v>0.03</v>
      </c>
      <c r="H32" s="53">
        <f t="shared" si="0"/>
        <v>0.66666666666666663</v>
      </c>
      <c r="I32" s="54">
        <f t="shared" si="1"/>
        <v>159032.15993352921</v>
      </c>
      <c r="J32" s="55">
        <f t="shared" si="2"/>
        <v>223638.97490652549</v>
      </c>
      <c r="K32" s="56">
        <f>Density!D25</f>
        <v>158800</v>
      </c>
      <c r="L32" s="57">
        <f t="shared" si="3"/>
        <v>159032.15993352921</v>
      </c>
      <c r="M32" s="58">
        <f t="shared" si="4"/>
        <v>1.4619643169345852E-3</v>
      </c>
      <c r="N32" s="59">
        <f t="shared" si="5"/>
        <v>223638.97490652549</v>
      </c>
      <c r="O32" s="60">
        <f t="shared" si="6"/>
        <v>0.40830588732068945</v>
      </c>
      <c r="Q32" s="14">
        <v>158800</v>
      </c>
      <c r="R32" s="20">
        <f t="shared" si="7"/>
        <v>0</v>
      </c>
      <c r="T32" s="20">
        <f t="shared" si="8"/>
        <v>191335.56742002734</v>
      </c>
      <c r="U32" s="61">
        <f t="shared" si="9"/>
        <v>0.20488392581881193</v>
      </c>
      <c r="W32" s="14">
        <v>263000</v>
      </c>
      <c r="X32" s="62">
        <f t="shared" si="10"/>
        <v>0.65617128463476071</v>
      </c>
      <c r="Y32" s="62">
        <f t="shared" si="11"/>
        <v>0.3745484101377351</v>
      </c>
    </row>
    <row r="33" spans="1:25" x14ac:dyDescent="0.35">
      <c r="A33" s="23" t="s">
        <v>191</v>
      </c>
      <c r="B33" s="48">
        <f>Area!D31</f>
        <v>42477.498908192523</v>
      </c>
      <c r="C33" s="49">
        <v>2</v>
      </c>
      <c r="D33" s="64">
        <v>5</v>
      </c>
      <c r="E33" s="64">
        <v>4</v>
      </c>
      <c r="F33" s="51">
        <v>1</v>
      </c>
      <c r="G33" s="52">
        <v>0.15</v>
      </c>
      <c r="H33" s="53">
        <f t="shared" si="0"/>
        <v>4.4444444444444446</v>
      </c>
      <c r="I33" s="54">
        <f t="shared" si="1"/>
        <v>188788.88403641121</v>
      </c>
      <c r="J33" s="55">
        <f t="shared" si="2"/>
        <v>199113.27613215244</v>
      </c>
      <c r="K33" s="56">
        <f>Density!D26</f>
        <v>150000</v>
      </c>
      <c r="L33" s="57">
        <f t="shared" si="3"/>
        <v>188788.88403641121</v>
      </c>
      <c r="M33" s="58">
        <f t="shared" si="4"/>
        <v>0.25859256024274141</v>
      </c>
      <c r="N33" s="59">
        <f t="shared" si="5"/>
        <v>199113.27613215244</v>
      </c>
      <c r="O33" s="60">
        <f t="shared" si="6"/>
        <v>0.32742184088101628</v>
      </c>
      <c r="Q33" s="63">
        <v>150000</v>
      </c>
      <c r="R33" s="20">
        <f t="shared" si="7"/>
        <v>0</v>
      </c>
      <c r="T33" s="20">
        <f t="shared" si="8"/>
        <v>193951.08008428183</v>
      </c>
      <c r="U33" s="61">
        <f t="shared" si="9"/>
        <v>0.29300720056187884</v>
      </c>
      <c r="W33" s="63">
        <v>150000</v>
      </c>
      <c r="X33" s="62">
        <f t="shared" si="10"/>
        <v>0</v>
      </c>
      <c r="Y33" s="62">
        <f t="shared" si="11"/>
        <v>-0.22660910197139814</v>
      </c>
    </row>
    <row r="34" spans="1:25" x14ac:dyDescent="0.35">
      <c r="A34" s="23" t="s">
        <v>45</v>
      </c>
      <c r="B34" s="48">
        <f>Area!D32</f>
        <v>5663.6665210923366</v>
      </c>
      <c r="C34" s="49">
        <v>5</v>
      </c>
      <c r="D34" s="64">
        <v>5</v>
      </c>
      <c r="E34" s="64">
        <v>4</v>
      </c>
      <c r="F34" s="51">
        <v>4</v>
      </c>
      <c r="G34" s="52">
        <v>0.6</v>
      </c>
      <c r="H34" s="53">
        <f t="shared" si="0"/>
        <v>44.444444444444443</v>
      </c>
      <c r="I34" s="54">
        <f t="shared" si="1"/>
        <v>251718.51204854829</v>
      </c>
      <c r="J34" s="55">
        <f t="shared" si="2"/>
        <v>106193.74727048131</v>
      </c>
      <c r="K34" s="56">
        <f>Density!D27</f>
        <v>71000</v>
      </c>
      <c r="L34" s="57">
        <f t="shared" si="3"/>
        <v>251718.51204854829</v>
      </c>
      <c r="M34" s="58">
        <f t="shared" si="4"/>
        <v>2.5453311556133564</v>
      </c>
      <c r="N34" s="59">
        <f t="shared" si="5"/>
        <v>106193.74727048131</v>
      </c>
      <c r="O34" s="60">
        <f t="shared" si="6"/>
        <v>0.4956865812743847</v>
      </c>
      <c r="Q34" s="14">
        <v>71000</v>
      </c>
      <c r="R34" s="20">
        <f t="shared" si="7"/>
        <v>0</v>
      </c>
      <c r="T34" s="20">
        <f t="shared" si="8"/>
        <v>178956.12965951482</v>
      </c>
      <c r="U34" s="61">
        <f t="shared" si="9"/>
        <v>1.5205088684438706</v>
      </c>
      <c r="W34" s="14">
        <v>186000</v>
      </c>
      <c r="X34" s="62">
        <f t="shared" si="10"/>
        <v>1.619718309859155</v>
      </c>
      <c r="Y34" s="62">
        <f t="shared" si="11"/>
        <v>3.936087774074562E-2</v>
      </c>
    </row>
    <row r="35" spans="1:25" x14ac:dyDescent="0.35">
      <c r="A35" s="23" t="s">
        <v>195</v>
      </c>
      <c r="B35" s="48">
        <f>Area!D33</f>
        <v>291543.97663337219</v>
      </c>
      <c r="C35" s="49">
        <v>2</v>
      </c>
      <c r="D35" s="64">
        <v>3</v>
      </c>
      <c r="E35" s="64">
        <v>2</v>
      </c>
      <c r="F35" s="51">
        <v>1</v>
      </c>
      <c r="G35" s="52">
        <v>0.03</v>
      </c>
      <c r="H35" s="53">
        <f t="shared" si="0"/>
        <v>1.3333333333333333</v>
      </c>
      <c r="I35" s="54">
        <f t="shared" si="1"/>
        <v>388725.30217782955</v>
      </c>
      <c r="J35" s="55">
        <f t="shared" si="2"/>
        <v>273322.4780937864</v>
      </c>
      <c r="K35" s="56">
        <f>Density!D28</f>
        <v>450000</v>
      </c>
      <c r="L35" s="57">
        <f t="shared" si="3"/>
        <v>388725.30217782955</v>
      </c>
      <c r="M35" s="58">
        <f t="shared" si="4"/>
        <v>-0.13616599516037878</v>
      </c>
      <c r="N35" s="59">
        <f t="shared" si="5"/>
        <v>273322.4780937864</v>
      </c>
      <c r="O35" s="60">
        <f t="shared" si="6"/>
        <v>-0.39261671534714132</v>
      </c>
      <c r="Q35" s="14">
        <f>700000-Q30</f>
        <v>450000</v>
      </c>
      <c r="R35" s="20">
        <f t="shared" si="7"/>
        <v>0</v>
      </c>
      <c r="T35" s="20">
        <f t="shared" si="8"/>
        <v>331023.89013580797</v>
      </c>
      <c r="U35" s="61">
        <f t="shared" si="9"/>
        <v>-0.26439135525376006</v>
      </c>
      <c r="W35" s="14">
        <v>177000</v>
      </c>
      <c r="X35" s="62">
        <f t="shared" si="10"/>
        <v>-0.60666666666666669</v>
      </c>
      <c r="Y35" s="62">
        <f t="shared" si="11"/>
        <v>-0.46529539022883559</v>
      </c>
    </row>
    <row r="36" spans="1:25" x14ac:dyDescent="0.35">
      <c r="A36" s="23" t="s">
        <v>47</v>
      </c>
      <c r="B36" s="48">
        <f>Area!D34</f>
        <v>336516.18579490297</v>
      </c>
      <c r="C36" s="49">
        <v>5</v>
      </c>
      <c r="D36" s="64">
        <v>5</v>
      </c>
      <c r="E36" s="64">
        <v>4</v>
      </c>
      <c r="F36" s="51">
        <v>1</v>
      </c>
      <c r="G36" s="52">
        <v>0.2</v>
      </c>
      <c r="H36" s="53">
        <f t="shared" si="0"/>
        <v>11.111111111111111</v>
      </c>
      <c r="I36" s="54">
        <f t="shared" si="1"/>
        <v>3739068.7310544774</v>
      </c>
      <c r="J36" s="55">
        <f t="shared" si="2"/>
        <v>2103226.1612181435</v>
      </c>
      <c r="K36" s="56">
        <f>Density!D29</f>
        <v>1800000</v>
      </c>
      <c r="L36" s="57">
        <f t="shared" si="3"/>
        <v>3739068.7310544774</v>
      </c>
      <c r="M36" s="58">
        <f t="shared" si="4"/>
        <v>1.0772604061413764</v>
      </c>
      <c r="N36" s="59">
        <f t="shared" si="5"/>
        <v>2103226.1612181435</v>
      </c>
      <c r="O36" s="60">
        <f t="shared" si="6"/>
        <v>0.16845897845452418</v>
      </c>
      <c r="Q36" s="14">
        <v>1800000</v>
      </c>
      <c r="R36" s="20">
        <f t="shared" si="7"/>
        <v>0</v>
      </c>
      <c r="T36" s="20">
        <f t="shared" si="8"/>
        <v>2921147.4461363107</v>
      </c>
      <c r="U36" s="61">
        <f t="shared" si="9"/>
        <v>0.62285969229795035</v>
      </c>
      <c r="W36" s="14">
        <v>1915000</v>
      </c>
      <c r="X36" s="62">
        <f t="shared" si="10"/>
        <v>6.3888888888888884E-2</v>
      </c>
      <c r="Y36" s="62">
        <f t="shared" si="11"/>
        <v>-0.34443569340092817</v>
      </c>
    </row>
    <row r="37" spans="1:25" x14ac:dyDescent="0.35">
      <c r="A37" s="23" t="s">
        <v>48</v>
      </c>
      <c r="B37" s="48">
        <f>Area!D35</f>
        <v>106126.32266903973</v>
      </c>
      <c r="C37" s="49">
        <v>3</v>
      </c>
      <c r="D37" s="64">
        <v>4</v>
      </c>
      <c r="E37" s="64">
        <v>3</v>
      </c>
      <c r="F37" s="51">
        <v>1</v>
      </c>
      <c r="G37" s="52">
        <v>0.15</v>
      </c>
      <c r="H37" s="53">
        <f t="shared" si="0"/>
        <v>4</v>
      </c>
      <c r="I37" s="54">
        <f t="shared" si="1"/>
        <v>424505.29067615891</v>
      </c>
      <c r="J37" s="55">
        <f t="shared" si="2"/>
        <v>497467.13751112373</v>
      </c>
      <c r="K37" s="56">
        <f>Density!D30</f>
        <v>275000</v>
      </c>
      <c r="L37" s="57">
        <f t="shared" si="3"/>
        <v>424505.29067615891</v>
      </c>
      <c r="M37" s="58">
        <f t="shared" si="4"/>
        <v>0.54365560245875966</v>
      </c>
      <c r="N37" s="59">
        <f t="shared" si="5"/>
        <v>497467.13751112373</v>
      </c>
      <c r="O37" s="60">
        <f t="shared" si="6"/>
        <v>0.80897140913135901</v>
      </c>
      <c r="Q37" s="14">
        <v>275000</v>
      </c>
      <c r="R37" s="20">
        <f t="shared" si="7"/>
        <v>0</v>
      </c>
      <c r="T37" s="20">
        <f t="shared" si="8"/>
        <v>460986.21409364132</v>
      </c>
      <c r="U37" s="61">
        <f t="shared" si="9"/>
        <v>0.67631350579505933</v>
      </c>
      <c r="W37" s="14">
        <v>248000</v>
      </c>
      <c r="X37" s="62">
        <f t="shared" si="10"/>
        <v>-9.8181818181818176E-2</v>
      </c>
      <c r="Y37" s="62">
        <f t="shared" si="11"/>
        <v>-0.46202295769820328</v>
      </c>
    </row>
    <row r="38" spans="1:25" x14ac:dyDescent="0.35">
      <c r="A38" s="23" t="s">
        <v>49</v>
      </c>
      <c r="B38" s="48">
        <f>Area!D36</f>
        <v>44365.387748556634</v>
      </c>
      <c r="C38" s="49">
        <v>4</v>
      </c>
      <c r="D38" s="64">
        <v>5</v>
      </c>
      <c r="E38" s="64">
        <v>3</v>
      </c>
      <c r="F38" s="51">
        <v>1</v>
      </c>
      <c r="G38" s="52">
        <v>0.08</v>
      </c>
      <c r="H38" s="53">
        <f t="shared" si="0"/>
        <v>6.666666666666667</v>
      </c>
      <c r="I38" s="54">
        <f t="shared" si="1"/>
        <v>295769.25165704422</v>
      </c>
      <c r="J38" s="55">
        <f t="shared" si="2"/>
        <v>110913.46937139159</v>
      </c>
      <c r="K38" s="56">
        <f>Density!D31</f>
        <v>41000</v>
      </c>
      <c r="L38" s="57">
        <f t="shared" si="3"/>
        <v>295769.25165704422</v>
      </c>
      <c r="M38" s="58">
        <f t="shared" si="4"/>
        <v>6.2138841867571761</v>
      </c>
      <c r="N38" s="59">
        <f t="shared" si="5"/>
        <v>110913.46937139159</v>
      </c>
      <c r="O38" s="60">
        <f t="shared" si="6"/>
        <v>1.7052065700339412</v>
      </c>
      <c r="Q38" s="14">
        <v>41000</v>
      </c>
      <c r="R38" s="20">
        <f t="shared" si="7"/>
        <v>0</v>
      </c>
      <c r="T38" s="20">
        <f t="shared" si="8"/>
        <v>203341.3605142179</v>
      </c>
      <c r="U38" s="61">
        <f t="shared" si="9"/>
        <v>3.9595453783955588</v>
      </c>
      <c r="W38" s="14">
        <v>20000</v>
      </c>
      <c r="X38" s="62">
        <f t="shared" si="10"/>
        <v>-0.51219512195121952</v>
      </c>
      <c r="Y38" s="62">
        <f t="shared" si="11"/>
        <v>-0.90164322718495049</v>
      </c>
    </row>
    <row r="39" spans="1:25" x14ac:dyDescent="0.35">
      <c r="A39" s="23" t="s">
        <v>50</v>
      </c>
      <c r="B39" s="48">
        <f>Area!D37</f>
        <v>81583.767744306271</v>
      </c>
      <c r="C39" s="49">
        <v>3</v>
      </c>
      <c r="D39" s="64">
        <v>5</v>
      </c>
      <c r="E39" s="64">
        <v>3</v>
      </c>
      <c r="F39" s="51">
        <v>1</v>
      </c>
      <c r="G39" s="52">
        <v>0.15</v>
      </c>
      <c r="H39" s="53">
        <f t="shared" si="0"/>
        <v>5</v>
      </c>
      <c r="I39" s="54">
        <f t="shared" si="1"/>
        <v>407918.83872153133</v>
      </c>
      <c r="J39" s="55">
        <f t="shared" si="2"/>
        <v>382423.91130143561</v>
      </c>
      <c r="K39" s="56">
        <f>Density!D32</f>
        <v>266000</v>
      </c>
      <c r="L39" s="57">
        <f t="shared" si="3"/>
        <v>407918.83872153133</v>
      </c>
      <c r="M39" s="58">
        <f t="shared" si="4"/>
        <v>0.53352946887793729</v>
      </c>
      <c r="N39" s="59">
        <f t="shared" si="5"/>
        <v>382423.91130143561</v>
      </c>
      <c r="O39" s="60">
        <f t="shared" si="6"/>
        <v>0.43768387707306622</v>
      </c>
      <c r="Q39" s="14">
        <v>266000</v>
      </c>
      <c r="R39" s="20">
        <f t="shared" si="7"/>
        <v>0</v>
      </c>
      <c r="T39" s="20">
        <f t="shared" si="8"/>
        <v>395171.37501148344</v>
      </c>
      <c r="U39" s="61">
        <f t="shared" si="9"/>
        <v>0.48560667297550164</v>
      </c>
      <c r="W39" s="14">
        <v>314000</v>
      </c>
      <c r="X39" s="62">
        <f t="shared" si="10"/>
        <v>0.18045112781954886</v>
      </c>
      <c r="Y39" s="62">
        <f t="shared" si="11"/>
        <v>-0.20540803343644171</v>
      </c>
    </row>
    <row r="40" spans="1:25" x14ac:dyDescent="0.35">
      <c r="A40" s="23" t="s">
        <v>51</v>
      </c>
      <c r="B40" s="48">
        <f>Area!D38</f>
        <v>610934.31366211502</v>
      </c>
      <c r="C40" s="49">
        <v>3</v>
      </c>
      <c r="D40" s="64">
        <v>3</v>
      </c>
      <c r="E40" s="64">
        <v>3</v>
      </c>
      <c r="F40" s="51">
        <v>1</v>
      </c>
      <c r="G40" s="52">
        <v>0.15</v>
      </c>
      <c r="H40" s="53">
        <f t="shared" si="0"/>
        <v>3</v>
      </c>
      <c r="I40" s="54">
        <f t="shared" si="1"/>
        <v>1832802.9409863451</v>
      </c>
      <c r="J40" s="55">
        <f t="shared" si="2"/>
        <v>2863754.5952911642</v>
      </c>
      <c r="K40" s="56">
        <f>Density!D33</f>
        <v>2618200</v>
      </c>
      <c r="L40" s="57">
        <f t="shared" si="3"/>
        <v>1832802.9409863451</v>
      </c>
      <c r="M40" s="58">
        <f t="shared" si="4"/>
        <v>-0.29997596020688067</v>
      </c>
      <c r="N40" s="59">
        <f t="shared" si="5"/>
        <v>2863754.5952911642</v>
      </c>
      <c r="O40" s="60">
        <f t="shared" si="6"/>
        <v>9.3787562176749009E-2</v>
      </c>
      <c r="Q40" s="14">
        <v>2618200</v>
      </c>
      <c r="R40" s="20">
        <f t="shared" si="7"/>
        <v>0</v>
      </c>
      <c r="T40" s="20">
        <f t="shared" si="8"/>
        <v>2348278.7681387546</v>
      </c>
      <c r="U40" s="61">
        <f t="shared" si="9"/>
        <v>-0.10309419901506583</v>
      </c>
      <c r="W40" s="14">
        <v>2920000</v>
      </c>
      <c r="X40" s="62">
        <f t="shared" si="10"/>
        <v>0.11527003284699412</v>
      </c>
      <c r="Y40" s="62">
        <f t="shared" si="11"/>
        <v>0.24346395309548002</v>
      </c>
    </row>
    <row r="41" spans="1:25" x14ac:dyDescent="0.35">
      <c r="A41" s="23" t="s">
        <v>206</v>
      </c>
      <c r="B41" s="48">
        <f>Area!D39</f>
        <v>641477.65811514866</v>
      </c>
      <c r="C41" s="49">
        <v>3</v>
      </c>
      <c r="D41" s="50">
        <v>4</v>
      </c>
      <c r="E41" s="50">
        <v>3</v>
      </c>
      <c r="F41" s="51">
        <v>1</v>
      </c>
      <c r="G41" s="52">
        <v>0.15</v>
      </c>
      <c r="H41" s="53">
        <f t="shared" si="0"/>
        <v>4</v>
      </c>
      <c r="I41" s="54">
        <f t="shared" si="1"/>
        <v>2565910.6324605946</v>
      </c>
      <c r="J41" s="55">
        <f t="shared" si="2"/>
        <v>3006926.5224147593</v>
      </c>
      <c r="K41" s="56">
        <f>Density!D34</f>
        <v>2518200</v>
      </c>
      <c r="L41" s="57">
        <f t="shared" si="3"/>
        <v>2565910.6324605946</v>
      </c>
      <c r="M41" s="58">
        <f t="shared" si="4"/>
        <v>1.8946323747357097E-2</v>
      </c>
      <c r="N41" s="59">
        <f t="shared" si="5"/>
        <v>3006926.5224147593</v>
      </c>
      <c r="O41" s="60">
        <f t="shared" si="6"/>
        <v>0.19407772314143407</v>
      </c>
      <c r="Q41" s="14">
        <v>2781800</v>
      </c>
      <c r="R41" s="20">
        <f t="shared" si="7"/>
        <v>-263600</v>
      </c>
      <c r="T41" s="20">
        <f t="shared" si="8"/>
        <v>2786418.577437677</v>
      </c>
      <c r="U41" s="61">
        <f t="shared" si="9"/>
        <v>0.10651202344439559</v>
      </c>
      <c r="W41" s="14">
        <v>4165000</v>
      </c>
      <c r="X41" s="62">
        <f t="shared" si="10"/>
        <v>0.65395917719005636</v>
      </c>
      <c r="Y41" s="62">
        <f t="shared" si="11"/>
        <v>0.49475029836688539</v>
      </c>
    </row>
    <row r="42" spans="1:25" x14ac:dyDescent="0.35">
      <c r="A42" s="23" t="s">
        <v>53</v>
      </c>
      <c r="B42" s="48">
        <f>Area!D40</f>
        <v>30947.892061683124</v>
      </c>
      <c r="C42" s="49">
        <v>3</v>
      </c>
      <c r="D42" s="64">
        <v>5</v>
      </c>
      <c r="E42" s="64">
        <v>3</v>
      </c>
      <c r="F42" s="51">
        <v>1</v>
      </c>
      <c r="G42" s="52">
        <v>0.15</v>
      </c>
      <c r="H42" s="53">
        <f t="shared" si="0"/>
        <v>5</v>
      </c>
      <c r="I42" s="54">
        <f t="shared" si="1"/>
        <v>154739.46030841561</v>
      </c>
      <c r="J42" s="55">
        <f t="shared" si="2"/>
        <v>145068.24403913965</v>
      </c>
      <c r="K42" s="56">
        <f>Density!D35</f>
        <v>85500</v>
      </c>
      <c r="L42" s="57">
        <f t="shared" si="3"/>
        <v>154739.46030841561</v>
      </c>
      <c r="M42" s="58">
        <f t="shared" si="4"/>
        <v>0.80981824922123524</v>
      </c>
      <c r="N42" s="59">
        <f t="shared" si="5"/>
        <v>145068.24403913965</v>
      </c>
      <c r="O42" s="60">
        <f t="shared" si="6"/>
        <v>0.69670460864490824</v>
      </c>
      <c r="Q42" s="14">
        <v>85500</v>
      </c>
      <c r="R42" s="20">
        <f t="shared" si="7"/>
        <v>0</v>
      </c>
      <c r="T42" s="20">
        <f t="shared" si="8"/>
        <v>149903.85217377765</v>
      </c>
      <c r="U42" s="61">
        <f t="shared" si="9"/>
        <v>0.75326142893307191</v>
      </c>
      <c r="W42" s="14">
        <v>152000</v>
      </c>
      <c r="X42" s="62">
        <f t="shared" si="10"/>
        <v>0.77777777777777779</v>
      </c>
      <c r="Y42" s="62">
        <f t="shared" si="11"/>
        <v>1.3983281922551076E-2</v>
      </c>
    </row>
    <row r="43" spans="1:25" x14ac:dyDescent="0.35">
      <c r="A43" s="23" t="s">
        <v>54</v>
      </c>
      <c r="B43" s="48">
        <f>Area!D41</f>
        <v>210095.05809194906</v>
      </c>
      <c r="C43" s="49">
        <v>4</v>
      </c>
      <c r="D43" s="64">
        <v>4</v>
      </c>
      <c r="E43" s="64">
        <v>2</v>
      </c>
      <c r="F43" s="51">
        <v>1</v>
      </c>
      <c r="G43" s="52">
        <v>0.05</v>
      </c>
      <c r="H43" s="53">
        <f t="shared" si="0"/>
        <v>3.5555555555555554</v>
      </c>
      <c r="I43" s="54">
        <f t="shared" si="1"/>
        <v>747004.65099359665</v>
      </c>
      <c r="J43" s="55">
        <f t="shared" si="2"/>
        <v>328273.52826867043</v>
      </c>
      <c r="K43" s="56">
        <f>Density!D36</f>
        <v>395000</v>
      </c>
      <c r="L43" s="57">
        <f t="shared" si="3"/>
        <v>747004.65099359665</v>
      </c>
      <c r="M43" s="58">
        <f t="shared" si="4"/>
        <v>0.89115101517366235</v>
      </c>
      <c r="N43" s="59">
        <f t="shared" si="5"/>
        <v>328273.52826867043</v>
      </c>
      <c r="O43" s="60">
        <f t="shared" si="6"/>
        <v>-0.16892777653501156</v>
      </c>
      <c r="Q43" s="14">
        <v>395000</v>
      </c>
      <c r="R43" s="20">
        <f t="shared" si="7"/>
        <v>0</v>
      </c>
      <c r="T43" s="20">
        <f t="shared" si="8"/>
        <v>537639.08963113348</v>
      </c>
      <c r="U43" s="61">
        <f t="shared" si="9"/>
        <v>0.36111161931932528</v>
      </c>
      <c r="W43" s="14">
        <v>934000</v>
      </c>
      <c r="X43" s="62">
        <f t="shared" si="10"/>
        <v>1.3645569620253164</v>
      </c>
      <c r="Y43" s="62">
        <f t="shared" si="11"/>
        <v>0.73722487448002361</v>
      </c>
    </row>
    <row r="44" spans="1:25" x14ac:dyDescent="0.35">
      <c r="A44" s="23" t="s">
        <v>55</v>
      </c>
      <c r="B44" s="48">
        <f>Area!D42</f>
        <v>833570.347622197</v>
      </c>
      <c r="C44" s="49">
        <v>2</v>
      </c>
      <c r="D44" s="64">
        <v>3</v>
      </c>
      <c r="E44" s="64">
        <v>1</v>
      </c>
      <c r="F44" s="51">
        <v>1</v>
      </c>
      <c r="G44" s="52">
        <v>0.03</v>
      </c>
      <c r="H44" s="53">
        <f t="shared" si="0"/>
        <v>0.66666666666666663</v>
      </c>
      <c r="I44" s="54">
        <f t="shared" si="1"/>
        <v>555713.56508146459</v>
      </c>
      <c r="J44" s="55">
        <f t="shared" si="2"/>
        <v>781472.20089580968</v>
      </c>
      <c r="K44" s="56">
        <f>Density!D37</f>
        <v>500000</v>
      </c>
      <c r="L44" s="57">
        <f t="shared" si="3"/>
        <v>555713.56508146459</v>
      </c>
      <c r="M44" s="58">
        <f t="shared" si="4"/>
        <v>0.11142713016292918</v>
      </c>
      <c r="N44" s="59">
        <f t="shared" si="5"/>
        <v>781472.20089580968</v>
      </c>
      <c r="O44" s="60">
        <f t="shared" si="6"/>
        <v>0.56294440179161942</v>
      </c>
      <c r="Q44" s="14">
        <v>500000</v>
      </c>
      <c r="R44" s="20">
        <f t="shared" si="7"/>
        <v>0</v>
      </c>
      <c r="T44" s="20">
        <f t="shared" si="8"/>
        <v>668592.88298863708</v>
      </c>
      <c r="U44" s="61">
        <f t="shared" si="9"/>
        <v>0.33718576597727418</v>
      </c>
      <c r="W44" s="14">
        <v>500000</v>
      </c>
      <c r="X44" s="62">
        <f t="shared" si="10"/>
        <v>0</v>
      </c>
      <c r="Y44" s="62">
        <f t="shared" si="11"/>
        <v>-0.2521607502536074</v>
      </c>
    </row>
    <row r="45" spans="1:25" x14ac:dyDescent="0.35">
      <c r="A45" s="23" t="s">
        <v>56</v>
      </c>
      <c r="B45" s="48">
        <f>Area!D43</f>
        <v>118262.75092852331</v>
      </c>
      <c r="C45" s="49">
        <v>3</v>
      </c>
      <c r="D45" s="64">
        <v>3</v>
      </c>
      <c r="E45" s="64">
        <v>2</v>
      </c>
      <c r="F45" s="51">
        <v>1</v>
      </c>
      <c r="G45" s="52">
        <v>0.1</v>
      </c>
      <c r="H45" s="53">
        <f t="shared" si="0"/>
        <v>2</v>
      </c>
      <c r="I45" s="54">
        <f t="shared" si="1"/>
        <v>236525.50185704662</v>
      </c>
      <c r="J45" s="55">
        <f t="shared" si="2"/>
        <v>369571.09665163537</v>
      </c>
      <c r="K45" s="56">
        <f>Density!D38</f>
        <v>468000</v>
      </c>
      <c r="L45" s="57">
        <f t="shared" si="3"/>
        <v>236525.50185704662</v>
      </c>
      <c r="M45" s="58">
        <f t="shared" si="4"/>
        <v>-0.49460362851058415</v>
      </c>
      <c r="N45" s="59">
        <f t="shared" si="5"/>
        <v>369571.09665163537</v>
      </c>
      <c r="O45" s="60">
        <f t="shared" si="6"/>
        <v>-0.21031816954778768</v>
      </c>
      <c r="Q45" s="14">
        <v>468000</v>
      </c>
      <c r="R45" s="20">
        <f t="shared" si="7"/>
        <v>0</v>
      </c>
      <c r="T45" s="20">
        <f t="shared" si="8"/>
        <v>303048.29925434099</v>
      </c>
      <c r="U45" s="61">
        <f t="shared" si="9"/>
        <v>-0.35246089902918593</v>
      </c>
      <c r="W45" s="14">
        <v>612000</v>
      </c>
      <c r="X45" s="62">
        <f t="shared" si="10"/>
        <v>0.30769230769230771</v>
      </c>
      <c r="Y45" s="62">
        <f t="shared" si="11"/>
        <v>1.0194800680480423</v>
      </c>
    </row>
    <row r="46" spans="1:25" x14ac:dyDescent="0.35">
      <c r="A46" s="23" t="s">
        <v>215</v>
      </c>
      <c r="B46" s="48">
        <f>Area!D44</f>
        <v>141996.21063595786</v>
      </c>
      <c r="C46" s="49">
        <v>1</v>
      </c>
      <c r="D46" s="64">
        <v>5</v>
      </c>
      <c r="E46" s="64">
        <v>3</v>
      </c>
      <c r="F46" s="51">
        <v>1</v>
      </c>
      <c r="G46" s="52">
        <v>0.05</v>
      </c>
      <c r="H46" s="53">
        <f t="shared" si="0"/>
        <v>1.6666666666666667</v>
      </c>
      <c r="I46" s="54">
        <f t="shared" si="1"/>
        <v>236660.35105992979</v>
      </c>
      <c r="J46" s="55">
        <f t="shared" si="2"/>
        <v>221869.07911868417</v>
      </c>
      <c r="K46" s="56">
        <f>Density!D39</f>
        <v>356000</v>
      </c>
      <c r="L46" s="57">
        <f t="shared" si="3"/>
        <v>236660.35105992979</v>
      </c>
      <c r="M46" s="58">
        <f t="shared" si="4"/>
        <v>-0.33522373297772534</v>
      </c>
      <c r="N46" s="59">
        <f t="shared" si="5"/>
        <v>221869.07911868417</v>
      </c>
      <c r="O46" s="60">
        <f t="shared" si="6"/>
        <v>-0.37677224966661749</v>
      </c>
      <c r="Q46" s="14">
        <f>476000-120000</f>
        <v>356000</v>
      </c>
      <c r="R46" s="20">
        <f t="shared" si="7"/>
        <v>0</v>
      </c>
      <c r="T46" s="20">
        <f t="shared" si="8"/>
        <v>229264.71508930699</v>
      </c>
      <c r="U46" s="61">
        <f t="shared" si="9"/>
        <v>-0.35599799132217136</v>
      </c>
      <c r="W46" s="14">
        <v>186000</v>
      </c>
      <c r="X46" s="62">
        <f t="shared" si="10"/>
        <v>-0.47752808988764045</v>
      </c>
      <c r="Y46" s="62">
        <f t="shared" si="11"/>
        <v>-0.18871074457512488</v>
      </c>
    </row>
    <row r="47" spans="1:25" x14ac:dyDescent="0.35">
      <c r="A47" s="23" t="s">
        <v>58</v>
      </c>
      <c r="B47" s="48">
        <f>Area!D45</f>
        <v>41466.129886568895</v>
      </c>
      <c r="C47" s="49">
        <v>3</v>
      </c>
      <c r="D47" s="64">
        <v>3</v>
      </c>
      <c r="E47" s="64">
        <v>2</v>
      </c>
      <c r="F47" s="51">
        <v>1</v>
      </c>
      <c r="G47" s="52">
        <v>0.08</v>
      </c>
      <c r="H47" s="53">
        <f t="shared" si="0"/>
        <v>2</v>
      </c>
      <c r="I47" s="54">
        <f t="shared" si="1"/>
        <v>82932.25977313779</v>
      </c>
      <c r="J47" s="55">
        <f t="shared" si="2"/>
        <v>103665.32471642223</v>
      </c>
      <c r="K47" s="56">
        <f>Density!D40</f>
        <v>138500</v>
      </c>
      <c r="L47" s="57">
        <f t="shared" si="3"/>
        <v>82932.25977313779</v>
      </c>
      <c r="M47" s="58">
        <f t="shared" si="4"/>
        <v>-0.40121112077156829</v>
      </c>
      <c r="N47" s="59">
        <f t="shared" si="5"/>
        <v>103665.32471642223</v>
      </c>
      <c r="O47" s="60">
        <f t="shared" si="6"/>
        <v>-0.25151390096446047</v>
      </c>
      <c r="Q47" s="14">
        <v>138500</v>
      </c>
      <c r="R47" s="20">
        <f t="shared" si="7"/>
        <v>0</v>
      </c>
      <c r="T47" s="20">
        <f t="shared" si="8"/>
        <v>93298.792244780008</v>
      </c>
      <c r="U47" s="61">
        <f t="shared" si="9"/>
        <v>-0.32636251086801438</v>
      </c>
      <c r="W47" s="14">
        <v>396000</v>
      </c>
      <c r="X47" s="62">
        <f t="shared" si="10"/>
        <v>1.8592057761732852</v>
      </c>
      <c r="Y47" s="62">
        <f t="shared" si="11"/>
        <v>3.2444279338691642</v>
      </c>
    </row>
    <row r="48" spans="1:25" x14ac:dyDescent="0.35">
      <c r="A48" s="23" t="s">
        <v>59</v>
      </c>
      <c r="B48" s="48">
        <f>Area!D46</f>
        <v>74639.033795824012</v>
      </c>
      <c r="C48" s="49">
        <v>3</v>
      </c>
      <c r="D48" s="64">
        <v>5</v>
      </c>
      <c r="E48" s="64">
        <v>4</v>
      </c>
      <c r="F48" s="51">
        <v>1</v>
      </c>
      <c r="G48" s="52">
        <v>0.2</v>
      </c>
      <c r="H48" s="53">
        <f t="shared" si="0"/>
        <v>6.6666666666666661</v>
      </c>
      <c r="I48" s="54">
        <f t="shared" si="1"/>
        <v>497593.55863882671</v>
      </c>
      <c r="J48" s="55">
        <f t="shared" si="2"/>
        <v>466493.96122390009</v>
      </c>
      <c r="K48" s="56">
        <f>Density!D41</f>
        <v>380000</v>
      </c>
      <c r="L48" s="57">
        <f t="shared" si="3"/>
        <v>497593.55863882671</v>
      </c>
      <c r="M48" s="58">
        <f t="shared" si="4"/>
        <v>0.30945673326007028</v>
      </c>
      <c r="N48" s="59">
        <f t="shared" si="5"/>
        <v>466493.96122390009</v>
      </c>
      <c r="O48" s="60">
        <f t="shared" si="6"/>
        <v>0.22761568743131602</v>
      </c>
      <c r="Q48" s="14">
        <v>380000</v>
      </c>
      <c r="R48" s="20">
        <f t="shared" si="7"/>
        <v>0</v>
      </c>
      <c r="T48" s="20">
        <f t="shared" si="8"/>
        <v>482043.7599313634</v>
      </c>
      <c r="U48" s="61">
        <f t="shared" si="9"/>
        <v>0.26853621034569314</v>
      </c>
      <c r="W48" s="14">
        <v>350000</v>
      </c>
      <c r="X48" s="62">
        <f t="shared" si="10"/>
        <v>-7.8947368421052627E-2</v>
      </c>
      <c r="Y48" s="62">
        <f t="shared" si="11"/>
        <v>-0.27392484024721048</v>
      </c>
    </row>
    <row r="49" spans="1:25" x14ac:dyDescent="0.35">
      <c r="A49" s="23" t="s">
        <v>60</v>
      </c>
      <c r="B49" s="48">
        <f>Area!D47</f>
        <v>190676.77287677533</v>
      </c>
      <c r="C49" s="49">
        <v>1</v>
      </c>
      <c r="D49" s="64">
        <v>2</v>
      </c>
      <c r="E49" s="64">
        <v>2</v>
      </c>
      <c r="F49" s="51">
        <v>1</v>
      </c>
      <c r="G49" s="52">
        <v>0.02</v>
      </c>
      <c r="H49" s="53">
        <f t="shared" si="0"/>
        <v>0.44444444444444442</v>
      </c>
      <c r="I49" s="54">
        <f t="shared" si="1"/>
        <v>84745.232389677913</v>
      </c>
      <c r="J49" s="55">
        <f t="shared" si="2"/>
        <v>119172.98304798458</v>
      </c>
      <c r="K49" s="56">
        <f>Density!D42</f>
        <v>35000</v>
      </c>
      <c r="L49" s="57">
        <f t="shared" si="3"/>
        <v>84745.232389677913</v>
      </c>
      <c r="M49" s="58">
        <f t="shared" si="4"/>
        <v>1.4212923539907976</v>
      </c>
      <c r="N49" s="59">
        <f t="shared" si="5"/>
        <v>119172.98304798458</v>
      </c>
      <c r="O49" s="60">
        <f t="shared" si="6"/>
        <v>2.4049423727995594</v>
      </c>
      <c r="Q49" s="14">
        <v>35000</v>
      </c>
      <c r="R49" s="20">
        <f t="shared" si="7"/>
        <v>0</v>
      </c>
      <c r="T49" s="20">
        <f t="shared" si="8"/>
        <v>101959.10771883125</v>
      </c>
      <c r="U49" s="61">
        <f t="shared" si="9"/>
        <v>1.9131173633951786</v>
      </c>
      <c r="W49" s="14">
        <v>115000</v>
      </c>
      <c r="X49" s="62">
        <f t="shared" si="10"/>
        <v>2.2857142857142856</v>
      </c>
      <c r="Y49" s="62">
        <f t="shared" si="11"/>
        <v>0.12790316209054245</v>
      </c>
    </row>
    <row r="50" spans="1:25" x14ac:dyDescent="0.35">
      <c r="A50" s="23" t="s">
        <v>62</v>
      </c>
      <c r="B50" s="48">
        <f>Area!D48</f>
        <v>31419.864271774153</v>
      </c>
      <c r="C50" s="49">
        <v>3</v>
      </c>
      <c r="D50" s="64">
        <v>4</v>
      </c>
      <c r="E50" s="64">
        <v>3</v>
      </c>
      <c r="F50" s="51">
        <v>1</v>
      </c>
      <c r="G50" s="52">
        <v>0.15</v>
      </c>
      <c r="H50" s="53">
        <f t="shared" si="0"/>
        <v>4</v>
      </c>
      <c r="I50" s="54">
        <f t="shared" si="1"/>
        <v>125679.45708709661</v>
      </c>
      <c r="J50" s="55">
        <f t="shared" si="2"/>
        <v>147280.61377394132</v>
      </c>
      <c r="K50" s="56">
        <f>Density!D43</f>
        <v>154000</v>
      </c>
      <c r="L50" s="57">
        <f t="shared" si="3"/>
        <v>125679.45708709661</v>
      </c>
      <c r="M50" s="58">
        <f t="shared" si="4"/>
        <v>-0.18389962930456746</v>
      </c>
      <c r="N50" s="59">
        <f t="shared" si="5"/>
        <v>147280.61377394132</v>
      </c>
      <c r="O50" s="60">
        <f t="shared" si="6"/>
        <v>-4.36323780912901E-2</v>
      </c>
      <c r="Q50" s="14">
        <v>154000</v>
      </c>
      <c r="R50" s="20">
        <f t="shared" si="7"/>
        <v>0</v>
      </c>
      <c r="T50" s="20">
        <f t="shared" si="8"/>
        <v>136480.03543051897</v>
      </c>
      <c r="U50" s="61">
        <f t="shared" si="9"/>
        <v>-0.11376600369792877</v>
      </c>
      <c r="W50" s="14">
        <v>209000</v>
      </c>
      <c r="X50" s="62">
        <f t="shared" si="10"/>
        <v>0.35714285714285715</v>
      </c>
      <c r="Y50" s="62">
        <f t="shared" si="11"/>
        <v>0.53135950866894699</v>
      </c>
    </row>
    <row r="51" spans="1:25" x14ac:dyDescent="0.35">
      <c r="A51" s="23" t="s">
        <v>63</v>
      </c>
      <c r="B51" s="48">
        <f>Area!D49</f>
        <v>135725.72270189133</v>
      </c>
      <c r="C51" s="49">
        <v>2</v>
      </c>
      <c r="D51" s="64">
        <v>5</v>
      </c>
      <c r="E51" s="64">
        <v>3</v>
      </c>
      <c r="F51" s="51">
        <v>1</v>
      </c>
      <c r="G51" s="52">
        <v>0.15</v>
      </c>
      <c r="H51" s="53">
        <f t="shared" si="0"/>
        <v>3.3333333333333335</v>
      </c>
      <c r="I51" s="54">
        <f t="shared" si="1"/>
        <v>452419.07567297108</v>
      </c>
      <c r="J51" s="55">
        <f t="shared" si="2"/>
        <v>636214.32516511565</v>
      </c>
      <c r="K51" s="56">
        <f>Density!D44</f>
        <v>420000</v>
      </c>
      <c r="L51" s="57">
        <f t="shared" si="3"/>
        <v>452419.07567297108</v>
      </c>
      <c r="M51" s="58">
        <f t="shared" si="4"/>
        <v>7.7188275411835913E-2</v>
      </c>
      <c r="N51" s="59">
        <f t="shared" si="5"/>
        <v>636214.32516511565</v>
      </c>
      <c r="O51" s="60">
        <f t="shared" si="6"/>
        <v>0.5147960122978944</v>
      </c>
      <c r="Q51" s="14">
        <v>420000</v>
      </c>
      <c r="R51" s="20">
        <f t="shared" si="7"/>
        <v>0</v>
      </c>
      <c r="T51" s="20">
        <f t="shared" si="8"/>
        <v>544316.70041904342</v>
      </c>
      <c r="U51" s="61">
        <f t="shared" si="9"/>
        <v>0.29599214385486528</v>
      </c>
      <c r="W51" s="14">
        <v>362000</v>
      </c>
      <c r="X51" s="62">
        <f t="shared" si="10"/>
        <v>-0.1380952380952381</v>
      </c>
      <c r="Y51" s="62">
        <f t="shared" si="11"/>
        <v>-0.33494599794326813</v>
      </c>
    </row>
    <row r="52" spans="1:25" x14ac:dyDescent="0.35">
      <c r="A52" s="23" t="s">
        <v>218</v>
      </c>
      <c r="B52" s="48">
        <f>Area!D50</f>
        <v>134579.50447738456</v>
      </c>
      <c r="C52" s="49">
        <v>1</v>
      </c>
      <c r="D52" s="64">
        <v>5</v>
      </c>
      <c r="E52" s="64">
        <v>4</v>
      </c>
      <c r="F52" s="51">
        <v>0.5</v>
      </c>
      <c r="G52" s="52">
        <v>0.01</v>
      </c>
      <c r="H52" s="53">
        <f t="shared" si="0"/>
        <v>1.1111111111111112</v>
      </c>
      <c r="I52" s="54">
        <f t="shared" si="1"/>
        <v>149532.78275264951</v>
      </c>
      <c r="J52" s="55">
        <f t="shared" si="2"/>
        <v>42056.095149182671</v>
      </c>
      <c r="K52" s="56">
        <f>Density!D45</f>
        <v>50000</v>
      </c>
      <c r="L52" s="57">
        <f t="shared" si="3"/>
        <v>149532.78275264951</v>
      </c>
      <c r="M52" s="58">
        <f t="shared" si="4"/>
        <v>1.9906556550529901</v>
      </c>
      <c r="N52" s="59">
        <f t="shared" si="5"/>
        <v>42056.095149182671</v>
      </c>
      <c r="O52" s="60">
        <f t="shared" si="6"/>
        <v>-0.15887809701634659</v>
      </c>
      <c r="Q52" s="63">
        <v>50000</v>
      </c>
      <c r="R52" s="20">
        <f t="shared" si="7"/>
        <v>0</v>
      </c>
      <c r="T52" s="20">
        <f t="shared" si="8"/>
        <v>95794.438950916083</v>
      </c>
      <c r="U52" s="61">
        <f t="shared" si="9"/>
        <v>0.91588877901832166</v>
      </c>
      <c r="W52" s="63">
        <v>50000</v>
      </c>
      <c r="X52" s="62">
        <f t="shared" si="10"/>
        <v>0</v>
      </c>
      <c r="Y52" s="62">
        <f t="shared" si="11"/>
        <v>-0.47804903345569572</v>
      </c>
    </row>
    <row r="53" spans="1:25" x14ac:dyDescent="0.35">
      <c r="A53" s="23" t="s">
        <v>64</v>
      </c>
      <c r="B53" s="48">
        <f>Area!D51</f>
        <v>139771.19878838587</v>
      </c>
      <c r="C53" s="49">
        <v>1</v>
      </c>
      <c r="D53" s="64">
        <v>3</v>
      </c>
      <c r="E53" s="64">
        <v>3</v>
      </c>
      <c r="F53" s="51">
        <v>0.5</v>
      </c>
      <c r="G53" s="52">
        <v>0.01</v>
      </c>
      <c r="H53" s="53">
        <f t="shared" si="0"/>
        <v>0.5</v>
      </c>
      <c r="I53" s="54">
        <f t="shared" si="1"/>
        <v>69885.599394192934</v>
      </c>
      <c r="J53" s="55">
        <f t="shared" si="2"/>
        <v>43678.499621370582</v>
      </c>
      <c r="K53" s="56">
        <f>Density!D46</f>
        <v>27000</v>
      </c>
      <c r="L53" s="57">
        <f t="shared" si="3"/>
        <v>69885.599394192934</v>
      </c>
      <c r="M53" s="58">
        <f t="shared" si="4"/>
        <v>1.5883555331182568</v>
      </c>
      <c r="N53" s="59">
        <f t="shared" si="5"/>
        <v>43678.499621370582</v>
      </c>
      <c r="O53" s="60">
        <f t="shared" si="6"/>
        <v>0.61772220819891044</v>
      </c>
      <c r="Q53" s="14">
        <v>27000</v>
      </c>
      <c r="R53" s="20">
        <f t="shared" si="7"/>
        <v>0</v>
      </c>
      <c r="T53" s="20">
        <f t="shared" si="8"/>
        <v>56782.049507781761</v>
      </c>
      <c r="U53" s="61">
        <f t="shared" si="9"/>
        <v>1.1030388706585839</v>
      </c>
      <c r="W53" s="14">
        <v>196000</v>
      </c>
      <c r="X53" s="62">
        <f t="shared" si="10"/>
        <v>6.2592592592592595</v>
      </c>
      <c r="Y53" s="62">
        <f t="shared" si="11"/>
        <v>2.4517950954401351</v>
      </c>
    </row>
    <row r="54" spans="1:25" x14ac:dyDescent="0.35">
      <c r="A54" s="23" t="s">
        <v>65</v>
      </c>
      <c r="B54" s="48">
        <f>Area!D52</f>
        <v>211308.7009178974</v>
      </c>
      <c r="C54" s="49">
        <v>3</v>
      </c>
      <c r="D54" s="64">
        <v>2</v>
      </c>
      <c r="E54" s="64">
        <v>2</v>
      </c>
      <c r="F54" s="51">
        <v>1</v>
      </c>
      <c r="G54" s="52">
        <v>0.03</v>
      </c>
      <c r="H54" s="53">
        <f t="shared" si="0"/>
        <v>1.3333333333333333</v>
      </c>
      <c r="I54" s="54">
        <f t="shared" si="1"/>
        <v>281744.93455719651</v>
      </c>
      <c r="J54" s="55">
        <f t="shared" si="2"/>
        <v>198101.90711052879</v>
      </c>
      <c r="K54" s="56">
        <f>Density!D47</f>
        <v>209000</v>
      </c>
      <c r="L54" s="57">
        <f t="shared" si="3"/>
        <v>281744.93455719651</v>
      </c>
      <c r="M54" s="58">
        <f t="shared" si="4"/>
        <v>0.34806188783347614</v>
      </c>
      <c r="N54" s="59">
        <f t="shared" si="5"/>
        <v>198101.90711052879</v>
      </c>
      <c r="O54" s="60">
        <f t="shared" si="6"/>
        <v>-5.2143985117087142E-2</v>
      </c>
      <c r="Q54" s="14">
        <v>209000</v>
      </c>
      <c r="R54" s="20">
        <f t="shared" si="7"/>
        <v>0</v>
      </c>
      <c r="T54" s="20">
        <f t="shared" si="8"/>
        <v>239923.42083386265</v>
      </c>
      <c r="U54" s="61">
        <f t="shared" si="9"/>
        <v>0.14795895135819448</v>
      </c>
      <c r="W54" s="14">
        <v>391000</v>
      </c>
      <c r="X54" s="62">
        <f t="shared" si="10"/>
        <v>0.87081339712918659</v>
      </c>
      <c r="Y54" s="62">
        <f t="shared" si="11"/>
        <v>0.62968666685838826</v>
      </c>
    </row>
    <row r="55" spans="1:25" x14ac:dyDescent="0.35">
      <c r="A55" s="23" t="s">
        <v>66</v>
      </c>
      <c r="B55" s="48">
        <f>Area!D53</f>
        <v>118127.90172564016</v>
      </c>
      <c r="C55" s="49">
        <v>2</v>
      </c>
      <c r="D55" s="64">
        <v>4</v>
      </c>
      <c r="E55" s="64">
        <v>3</v>
      </c>
      <c r="F55" s="51">
        <v>0.75</v>
      </c>
      <c r="G55" s="52">
        <v>0.04</v>
      </c>
      <c r="H55" s="53">
        <f t="shared" si="0"/>
        <v>2</v>
      </c>
      <c r="I55" s="54">
        <f t="shared" si="1"/>
        <v>236255.80345128031</v>
      </c>
      <c r="J55" s="55">
        <f t="shared" si="2"/>
        <v>147659.87715705021</v>
      </c>
      <c r="K55" s="56">
        <f>Density!D48</f>
        <v>144000</v>
      </c>
      <c r="L55" s="57">
        <f t="shared" si="3"/>
        <v>236255.80345128031</v>
      </c>
      <c r="M55" s="58">
        <f t="shared" si="4"/>
        <v>0.64066530174500214</v>
      </c>
      <c r="N55" s="59">
        <f t="shared" si="5"/>
        <v>147659.87715705021</v>
      </c>
      <c r="O55" s="60">
        <f t="shared" si="6"/>
        <v>2.5415813590626488E-2</v>
      </c>
      <c r="Q55" s="14">
        <v>144000</v>
      </c>
      <c r="R55" s="20">
        <f t="shared" si="7"/>
        <v>0</v>
      </c>
      <c r="T55" s="20">
        <f t="shared" si="8"/>
        <v>191957.84030416526</v>
      </c>
      <c r="U55" s="61">
        <f t="shared" si="9"/>
        <v>0.33304055766781432</v>
      </c>
      <c r="W55" s="14">
        <v>295000</v>
      </c>
      <c r="X55" s="62">
        <f t="shared" si="10"/>
        <v>1.0486111111111112</v>
      </c>
      <c r="Y55" s="62">
        <f t="shared" si="11"/>
        <v>0.53679578564001396</v>
      </c>
    </row>
    <row r="56" spans="1:25" x14ac:dyDescent="0.35">
      <c r="A56" s="23" t="s">
        <v>67</v>
      </c>
      <c r="B56" s="48">
        <f>Area!D54</f>
        <v>269159.00895476912</v>
      </c>
      <c r="C56" s="49">
        <v>2</v>
      </c>
      <c r="D56" s="64">
        <v>2</v>
      </c>
      <c r="E56" s="64">
        <v>1</v>
      </c>
      <c r="F56" s="51">
        <v>1</v>
      </c>
      <c r="G56" s="52">
        <v>0.02</v>
      </c>
      <c r="H56" s="53">
        <f t="shared" si="0"/>
        <v>0.44444444444444442</v>
      </c>
      <c r="I56" s="54">
        <f t="shared" si="1"/>
        <v>119626.22620211961</v>
      </c>
      <c r="J56" s="55">
        <f t="shared" si="2"/>
        <v>168224.38059673068</v>
      </c>
      <c r="K56" s="56">
        <f>Density!D49</f>
        <v>55000</v>
      </c>
      <c r="L56" s="57">
        <f t="shared" si="3"/>
        <v>119626.22620211961</v>
      </c>
      <c r="M56" s="58">
        <f t="shared" si="4"/>
        <v>1.1750222945839928</v>
      </c>
      <c r="N56" s="59">
        <f t="shared" si="5"/>
        <v>168224.38059673068</v>
      </c>
      <c r="O56" s="60">
        <f t="shared" si="6"/>
        <v>2.0586251017587398</v>
      </c>
      <c r="Q56" s="14">
        <v>55000</v>
      </c>
      <c r="R56" s="20">
        <f t="shared" si="7"/>
        <v>0</v>
      </c>
      <c r="T56" s="20">
        <f t="shared" si="8"/>
        <v>143925.30339942515</v>
      </c>
      <c r="U56" s="61">
        <f t="shared" si="9"/>
        <v>1.6168236981713662</v>
      </c>
      <c r="W56" s="14">
        <v>141000</v>
      </c>
      <c r="X56" s="62">
        <f t="shared" si="10"/>
        <v>1.5636363636363637</v>
      </c>
      <c r="Y56" s="62">
        <f t="shared" si="11"/>
        <v>-2.0325150132265272E-2</v>
      </c>
    </row>
    <row r="57" spans="1:25" x14ac:dyDescent="0.35">
      <c r="A57" s="23" t="s">
        <v>68</v>
      </c>
      <c r="B57" s="48">
        <f>Area!D55</f>
        <v>142400.75824460731</v>
      </c>
      <c r="C57" s="49">
        <v>3</v>
      </c>
      <c r="D57" s="64">
        <v>5</v>
      </c>
      <c r="E57" s="64">
        <v>4</v>
      </c>
      <c r="F57" s="51">
        <v>1</v>
      </c>
      <c r="G57" s="52">
        <v>0.15</v>
      </c>
      <c r="H57" s="53">
        <f t="shared" si="0"/>
        <v>6.6666666666666661</v>
      </c>
      <c r="I57" s="54">
        <f t="shared" si="1"/>
        <v>949338.38829738193</v>
      </c>
      <c r="J57" s="55">
        <f t="shared" si="2"/>
        <v>667503.55427159672</v>
      </c>
      <c r="K57" s="56">
        <f>Density!D50</f>
        <v>125000</v>
      </c>
      <c r="L57" s="57">
        <f t="shared" si="3"/>
        <v>949338.38829738193</v>
      </c>
      <c r="M57" s="58">
        <f t="shared" si="4"/>
        <v>6.5947071063790554</v>
      </c>
      <c r="N57" s="59">
        <f t="shared" si="5"/>
        <v>667503.55427159672</v>
      </c>
      <c r="O57" s="60">
        <f t="shared" si="6"/>
        <v>4.3400284341727735</v>
      </c>
      <c r="Q57" s="14">
        <v>125000</v>
      </c>
      <c r="R57" s="20">
        <f t="shared" si="7"/>
        <v>0</v>
      </c>
      <c r="T57" s="20">
        <f t="shared" si="8"/>
        <v>808420.97128448938</v>
      </c>
      <c r="U57" s="61">
        <f t="shared" si="9"/>
        <v>5.4673677702759154</v>
      </c>
      <c r="W57" s="14">
        <v>506000</v>
      </c>
      <c r="X57" s="62">
        <f t="shared" si="10"/>
        <v>3.048</v>
      </c>
      <c r="Y57" s="62">
        <f t="shared" si="11"/>
        <v>-0.37408847868453571</v>
      </c>
    </row>
    <row r="58" spans="1:25" x14ac:dyDescent="0.35">
      <c r="A58" s="23" t="s">
        <v>69</v>
      </c>
      <c r="B58" s="48">
        <f>Area!D56</f>
        <v>120824.88578330318</v>
      </c>
      <c r="C58" s="49">
        <v>1</v>
      </c>
      <c r="D58" s="64">
        <v>4</v>
      </c>
      <c r="E58" s="64">
        <v>2</v>
      </c>
      <c r="F58" s="51">
        <v>1</v>
      </c>
      <c r="G58" s="52">
        <v>0.05</v>
      </c>
      <c r="H58" s="53">
        <f t="shared" si="0"/>
        <v>0.88888888888888884</v>
      </c>
      <c r="I58" s="54">
        <f t="shared" si="1"/>
        <v>107399.89847404727</v>
      </c>
      <c r="J58" s="55">
        <f t="shared" si="2"/>
        <v>188788.88403641121</v>
      </c>
      <c r="K58" s="56">
        <f>Density!D51</f>
        <v>195000</v>
      </c>
      <c r="L58" s="57">
        <f t="shared" si="3"/>
        <v>107399.89847404727</v>
      </c>
      <c r="M58" s="58">
        <f t="shared" si="4"/>
        <v>-0.44923128987668071</v>
      </c>
      <c r="N58" s="59">
        <f t="shared" si="5"/>
        <v>188788.88403641121</v>
      </c>
      <c r="O58" s="60">
        <f t="shared" si="6"/>
        <v>-3.1851876736352765E-2</v>
      </c>
      <c r="Q58" s="14">
        <v>195000</v>
      </c>
      <c r="R58" s="20">
        <f t="shared" si="7"/>
        <v>0</v>
      </c>
      <c r="T58" s="20">
        <f t="shared" si="8"/>
        <v>148094.39125522925</v>
      </c>
      <c r="U58" s="61">
        <f t="shared" si="9"/>
        <v>-0.24054158330651668</v>
      </c>
      <c r="W58" s="14">
        <v>503000</v>
      </c>
      <c r="X58" s="62">
        <f t="shared" si="10"/>
        <v>1.5794871794871794</v>
      </c>
      <c r="Y58" s="62">
        <f t="shared" si="11"/>
        <v>2.3964824443156552</v>
      </c>
    </row>
    <row r="59" spans="1:25" x14ac:dyDescent="0.35">
      <c r="A59" s="23" t="s">
        <v>70</v>
      </c>
      <c r="B59" s="48">
        <f>Area!D57</f>
        <v>336111.63818625355</v>
      </c>
      <c r="C59" s="49">
        <v>2</v>
      </c>
      <c r="D59" s="64">
        <v>3</v>
      </c>
      <c r="E59" s="64">
        <v>2</v>
      </c>
      <c r="F59" s="51">
        <v>1</v>
      </c>
      <c r="G59" s="52">
        <v>0.03</v>
      </c>
      <c r="H59" s="53">
        <f t="shared" si="0"/>
        <v>1.3333333333333333</v>
      </c>
      <c r="I59" s="54">
        <f t="shared" si="1"/>
        <v>448148.85091500473</v>
      </c>
      <c r="J59" s="55">
        <f t="shared" si="2"/>
        <v>315104.6607996127</v>
      </c>
      <c r="K59" s="56">
        <f>Density!D52</f>
        <v>104000</v>
      </c>
      <c r="L59" s="57">
        <f t="shared" si="3"/>
        <v>448148.85091500473</v>
      </c>
      <c r="M59" s="58">
        <f t="shared" si="4"/>
        <v>3.3091235664904302</v>
      </c>
      <c r="N59" s="59">
        <f t="shared" si="5"/>
        <v>315104.6607996127</v>
      </c>
      <c r="O59" s="60">
        <f t="shared" si="6"/>
        <v>2.0298525076885836</v>
      </c>
      <c r="Q59" s="14">
        <v>104000</v>
      </c>
      <c r="R59" s="20">
        <f t="shared" si="7"/>
        <v>0</v>
      </c>
      <c r="T59" s="20">
        <f t="shared" si="8"/>
        <v>381626.75585730874</v>
      </c>
      <c r="U59" s="61">
        <f t="shared" si="9"/>
        <v>2.6694880370895073</v>
      </c>
      <c r="W59" s="14">
        <v>190000</v>
      </c>
      <c r="X59" s="62">
        <f t="shared" si="10"/>
        <v>0.82692307692307687</v>
      </c>
      <c r="Y59" s="62">
        <f t="shared" si="11"/>
        <v>-0.50213134408468596</v>
      </c>
    </row>
    <row r="60" spans="1:25" x14ac:dyDescent="0.35">
      <c r="A60" s="23" t="s">
        <v>219</v>
      </c>
      <c r="B60" s="48">
        <f>Area!D58</f>
        <v>287363.65134399448</v>
      </c>
      <c r="C60" s="49">
        <v>4</v>
      </c>
      <c r="D60" s="64">
        <v>4</v>
      </c>
      <c r="E60" s="64">
        <v>3</v>
      </c>
      <c r="F60" s="51">
        <v>0.5</v>
      </c>
      <c r="G60" s="52">
        <v>0.05</v>
      </c>
      <c r="H60" s="53">
        <f t="shared" si="0"/>
        <v>2.6666666666666665</v>
      </c>
      <c r="I60" s="54">
        <f t="shared" si="1"/>
        <v>766303.07025065192</v>
      </c>
      <c r="J60" s="55">
        <f t="shared" si="2"/>
        <v>449005.70522499143</v>
      </c>
      <c r="K60" s="56">
        <f>Density!D53</f>
        <v>450000</v>
      </c>
      <c r="L60" s="57">
        <f t="shared" si="3"/>
        <v>766303.07025065192</v>
      </c>
      <c r="M60" s="58">
        <f t="shared" si="4"/>
        <v>0.70289571166811537</v>
      </c>
      <c r="N60" s="59">
        <f t="shared" si="5"/>
        <v>449005.70522499143</v>
      </c>
      <c r="O60" s="60">
        <f t="shared" si="6"/>
        <v>-2.2095439444634961E-3</v>
      </c>
      <c r="Q60" s="63">
        <v>450000</v>
      </c>
      <c r="R60" s="20">
        <f t="shared" si="7"/>
        <v>0</v>
      </c>
      <c r="T60" s="20">
        <f t="shared" si="8"/>
        <v>607654.38773782167</v>
      </c>
      <c r="U60" s="61">
        <f t="shared" si="9"/>
        <v>0.35034308386182594</v>
      </c>
      <c r="W60" s="14">
        <v>148000</v>
      </c>
      <c r="X60" s="62">
        <f t="shared" si="10"/>
        <v>-0.6711111111111111</v>
      </c>
      <c r="Y60" s="62">
        <f t="shared" si="11"/>
        <v>-0.7564404981078553</v>
      </c>
    </row>
    <row r="61" spans="1:25" x14ac:dyDescent="0.35">
      <c r="A61" s="23" t="s">
        <v>71</v>
      </c>
      <c r="B61" s="48">
        <f>Area!D59</f>
        <v>138422.70675955436</v>
      </c>
      <c r="C61" s="49">
        <v>3</v>
      </c>
      <c r="D61" s="64">
        <v>4</v>
      </c>
      <c r="E61" s="64">
        <v>2</v>
      </c>
      <c r="F61" s="51">
        <v>1</v>
      </c>
      <c r="G61" s="52">
        <v>0.15</v>
      </c>
      <c r="H61" s="53">
        <f t="shared" si="0"/>
        <v>2.6666666666666665</v>
      </c>
      <c r="I61" s="54">
        <f t="shared" si="1"/>
        <v>369127.2180254783</v>
      </c>
      <c r="J61" s="55">
        <f t="shared" si="2"/>
        <v>648856.437935411</v>
      </c>
      <c r="K61" s="56">
        <f>Density!D54</f>
        <v>273000</v>
      </c>
      <c r="L61" s="57">
        <f t="shared" si="3"/>
        <v>369127.2180254783</v>
      </c>
      <c r="M61" s="58">
        <f t="shared" si="4"/>
        <v>0.35211435174167877</v>
      </c>
      <c r="N61" s="59">
        <f t="shared" si="5"/>
        <v>648856.437935411</v>
      </c>
      <c r="O61" s="60">
        <f t="shared" si="6"/>
        <v>1.3767635089209194</v>
      </c>
      <c r="Q61" s="14">
        <v>273000</v>
      </c>
      <c r="R61" s="20">
        <f t="shared" si="7"/>
        <v>0</v>
      </c>
      <c r="T61" s="20">
        <f t="shared" si="8"/>
        <v>508991.82798044465</v>
      </c>
      <c r="U61" s="61">
        <f t="shared" si="9"/>
        <v>0.86443893033129904</v>
      </c>
      <c r="W61" s="14">
        <v>704000</v>
      </c>
      <c r="X61" s="62">
        <f t="shared" si="10"/>
        <v>1.5787545787545787</v>
      </c>
      <c r="Y61" s="62">
        <f t="shared" si="11"/>
        <v>0.38312633189672257</v>
      </c>
    </row>
    <row r="62" spans="1:25" x14ac:dyDescent="0.35">
      <c r="A62" s="23" t="s">
        <v>72</v>
      </c>
      <c r="B62" s="48">
        <f>Area!D60</f>
        <v>67761.724448783309</v>
      </c>
      <c r="C62" s="49">
        <v>5</v>
      </c>
      <c r="D62" s="64">
        <v>4</v>
      </c>
      <c r="E62" s="64">
        <v>4</v>
      </c>
      <c r="F62" s="51">
        <v>1</v>
      </c>
      <c r="G62" s="52">
        <v>0.15</v>
      </c>
      <c r="H62" s="53">
        <f t="shared" si="0"/>
        <v>8.8888888888888875</v>
      </c>
      <c r="I62" s="54">
        <f t="shared" si="1"/>
        <v>602326.43954474048</v>
      </c>
      <c r="J62" s="55">
        <f t="shared" si="2"/>
        <v>317633.08335367171</v>
      </c>
      <c r="K62" s="56">
        <f>Density!D55</f>
        <v>370000</v>
      </c>
      <c r="L62" s="57">
        <f t="shared" si="3"/>
        <v>602326.43954474048</v>
      </c>
      <c r="M62" s="58">
        <f t="shared" si="4"/>
        <v>0.62790929606686618</v>
      </c>
      <c r="N62" s="59">
        <f t="shared" si="5"/>
        <v>317633.08335367171</v>
      </c>
      <c r="O62" s="60">
        <f t="shared" si="6"/>
        <v>-0.14153220715223863</v>
      </c>
      <c r="Q62" s="14">
        <v>370000</v>
      </c>
      <c r="R62" s="20">
        <f t="shared" si="7"/>
        <v>0</v>
      </c>
      <c r="T62" s="20">
        <f t="shared" si="8"/>
        <v>459979.7614492061</v>
      </c>
      <c r="U62" s="61">
        <f t="shared" si="9"/>
        <v>0.24318854445731378</v>
      </c>
      <c r="W62" s="14">
        <v>204000</v>
      </c>
      <c r="X62" s="62">
        <f t="shared" si="10"/>
        <v>-0.44864864864864867</v>
      </c>
      <c r="Y62" s="62">
        <f t="shared" si="11"/>
        <v>-0.55650222662562299</v>
      </c>
    </row>
    <row r="63" spans="1:25" x14ac:dyDescent="0.35">
      <c r="A63" s="23" t="s">
        <v>73</v>
      </c>
      <c r="B63" s="48">
        <f>Area!D61</f>
        <v>81111.795534215242</v>
      </c>
      <c r="C63" s="49">
        <v>5</v>
      </c>
      <c r="D63" s="64">
        <v>4</v>
      </c>
      <c r="E63" s="64">
        <v>4</v>
      </c>
      <c r="F63" s="51">
        <v>0.75</v>
      </c>
      <c r="G63" s="52">
        <v>0.15</v>
      </c>
      <c r="H63" s="53">
        <f t="shared" si="0"/>
        <v>6.6666666666666661</v>
      </c>
      <c r="I63" s="54">
        <f t="shared" si="1"/>
        <v>540745.30356143485</v>
      </c>
      <c r="J63" s="55">
        <f t="shared" si="2"/>
        <v>380211.54156663391</v>
      </c>
      <c r="K63" s="56">
        <f>Density!D56</f>
        <v>392200</v>
      </c>
      <c r="L63" s="57">
        <f t="shared" si="3"/>
        <v>540745.30356143485</v>
      </c>
      <c r="M63" s="58">
        <f t="shared" si="4"/>
        <v>0.37874886170687111</v>
      </c>
      <c r="N63" s="59">
        <f t="shared" si="5"/>
        <v>380211.54156663391</v>
      </c>
      <c r="O63" s="60">
        <f t="shared" si="6"/>
        <v>-3.0567206612356169E-2</v>
      </c>
      <c r="Q63" s="14">
        <v>392200</v>
      </c>
      <c r="R63" s="20">
        <f t="shared" si="7"/>
        <v>0</v>
      </c>
      <c r="T63" s="20">
        <f t="shared" si="8"/>
        <v>460478.42256403435</v>
      </c>
      <c r="U63" s="61">
        <f t="shared" si="9"/>
        <v>0.17409082754725738</v>
      </c>
      <c r="W63" s="14">
        <v>180000</v>
      </c>
      <c r="X63" s="62">
        <f t="shared" si="10"/>
        <v>-0.54105048444671089</v>
      </c>
      <c r="Y63" s="62">
        <f t="shared" si="11"/>
        <v>-0.60910220505507162</v>
      </c>
    </row>
    <row r="64" spans="1:25" x14ac:dyDescent="0.35">
      <c r="A64" s="23" t="s">
        <v>74</v>
      </c>
      <c r="B64" s="48">
        <f>Area!D62</f>
        <v>111655.13998724891</v>
      </c>
      <c r="C64" s="49">
        <v>4</v>
      </c>
      <c r="D64" s="64">
        <v>4</v>
      </c>
      <c r="E64" s="64">
        <v>4</v>
      </c>
      <c r="F64" s="51">
        <v>1</v>
      </c>
      <c r="G64" s="52">
        <v>0.15</v>
      </c>
      <c r="H64" s="53">
        <f t="shared" si="0"/>
        <v>7.1111111111111107</v>
      </c>
      <c r="I64" s="54">
        <f t="shared" si="1"/>
        <v>793992.10657599219</v>
      </c>
      <c r="J64" s="55">
        <f t="shared" si="2"/>
        <v>523383.46869022929</v>
      </c>
      <c r="K64" s="56">
        <f>Density!D57</f>
        <v>538400</v>
      </c>
      <c r="L64" s="57">
        <f t="shared" si="3"/>
        <v>793992.10657599219</v>
      </c>
      <c r="M64" s="58">
        <f t="shared" si="4"/>
        <v>0.47472530939077301</v>
      </c>
      <c r="N64" s="59">
        <f t="shared" si="5"/>
        <v>523383.46869022929</v>
      </c>
      <c r="O64" s="60">
        <f t="shared" si="6"/>
        <v>-2.7891031407449314E-2</v>
      </c>
      <c r="Q64" s="14">
        <v>538400</v>
      </c>
      <c r="R64" s="20">
        <f t="shared" si="7"/>
        <v>0</v>
      </c>
      <c r="T64" s="20">
        <f t="shared" si="8"/>
        <v>658687.78763311077</v>
      </c>
      <c r="U64" s="61">
        <f t="shared" si="9"/>
        <v>0.22341713899166191</v>
      </c>
      <c r="W64" s="14">
        <v>219000</v>
      </c>
      <c r="X64" s="62">
        <f t="shared" si="10"/>
        <v>-0.59323922734026746</v>
      </c>
      <c r="Y64" s="62">
        <f t="shared" si="11"/>
        <v>-0.66752078281739291</v>
      </c>
    </row>
    <row r="65" spans="1:25" x14ac:dyDescent="0.35">
      <c r="A65" s="23" t="s">
        <v>75</v>
      </c>
      <c r="B65" s="48">
        <f>Area!D63</f>
        <v>189732.82845659327</v>
      </c>
      <c r="C65" s="49">
        <v>2</v>
      </c>
      <c r="D65" s="64">
        <v>2</v>
      </c>
      <c r="E65" s="64">
        <v>2</v>
      </c>
      <c r="F65" s="51">
        <v>1</v>
      </c>
      <c r="G65" s="52">
        <v>0.05</v>
      </c>
      <c r="H65" s="53">
        <f t="shared" si="0"/>
        <v>0.88888888888888884</v>
      </c>
      <c r="I65" s="54">
        <f t="shared" si="1"/>
        <v>168651.40307252735</v>
      </c>
      <c r="J65" s="55">
        <f t="shared" si="2"/>
        <v>296457.54446342698</v>
      </c>
      <c r="K65" s="56">
        <f>Density!D58</f>
        <v>277400</v>
      </c>
      <c r="L65" s="57">
        <f t="shared" si="3"/>
        <v>168651.40307252735</v>
      </c>
      <c r="M65" s="58">
        <f t="shared" si="4"/>
        <v>-0.39202810716464548</v>
      </c>
      <c r="N65" s="59">
        <f t="shared" si="5"/>
        <v>296457.54446342698</v>
      </c>
      <c r="O65" s="60">
        <f t="shared" si="6"/>
        <v>6.8700592874646652E-2</v>
      </c>
      <c r="Q65" s="14">
        <v>277400</v>
      </c>
      <c r="R65" s="20">
        <f t="shared" si="7"/>
        <v>0</v>
      </c>
      <c r="T65" s="20">
        <f t="shared" si="8"/>
        <v>232554.47376797715</v>
      </c>
      <c r="U65" s="61">
        <f t="shared" si="9"/>
        <v>-0.16166375714499945</v>
      </c>
      <c r="W65" s="14">
        <v>192000</v>
      </c>
      <c r="X65" s="62">
        <f t="shared" si="10"/>
        <v>-0.30785868781542897</v>
      </c>
      <c r="Y65" s="62">
        <f t="shared" si="11"/>
        <v>-0.17438698602908373</v>
      </c>
    </row>
    <row r="66" spans="1:25" x14ac:dyDescent="0.35">
      <c r="A66" s="23" t="s">
        <v>76</v>
      </c>
      <c r="B66" s="48">
        <f>Area!D64</f>
        <v>175641.08675530402</v>
      </c>
      <c r="C66" s="49">
        <v>4</v>
      </c>
      <c r="D66" s="64">
        <v>4</v>
      </c>
      <c r="E66" s="64">
        <v>3</v>
      </c>
      <c r="F66" s="51">
        <v>1</v>
      </c>
      <c r="G66" s="52">
        <v>0.15</v>
      </c>
      <c r="H66" s="53">
        <f t="shared" si="0"/>
        <v>5.333333333333333</v>
      </c>
      <c r="I66" s="54">
        <f t="shared" si="1"/>
        <v>936752.46269495471</v>
      </c>
      <c r="J66" s="55">
        <f t="shared" si="2"/>
        <v>823317.59416548756</v>
      </c>
      <c r="K66" s="56">
        <f>Density!D59</f>
        <v>682200</v>
      </c>
      <c r="L66" s="57">
        <f t="shared" si="3"/>
        <v>936752.46269495471</v>
      </c>
      <c r="M66" s="58">
        <f t="shared" si="4"/>
        <v>0.37313465654493505</v>
      </c>
      <c r="N66" s="59">
        <f t="shared" si="5"/>
        <v>823317.59416548756</v>
      </c>
      <c r="O66" s="60">
        <f t="shared" si="6"/>
        <v>0.20685663172894689</v>
      </c>
      <c r="Q66" s="14">
        <v>682200</v>
      </c>
      <c r="R66" s="20">
        <f t="shared" si="7"/>
        <v>0</v>
      </c>
      <c r="T66" s="20">
        <f t="shared" si="8"/>
        <v>880035.02843022114</v>
      </c>
      <c r="U66" s="61">
        <f t="shared" si="9"/>
        <v>0.28999564413694096</v>
      </c>
      <c r="W66" s="14">
        <v>723000</v>
      </c>
      <c r="X66" s="62">
        <f t="shared" si="10"/>
        <v>5.9806508355321017E-2</v>
      </c>
      <c r="Y66" s="62">
        <f t="shared" si="11"/>
        <v>-0.17844179306173219</v>
      </c>
    </row>
    <row r="67" spans="1:25" x14ac:dyDescent="0.35">
      <c r="A67" s="23" t="s">
        <v>77</v>
      </c>
      <c r="B67" s="48">
        <f>Area!D65</f>
        <v>150693.9842219211</v>
      </c>
      <c r="C67" s="49">
        <v>4</v>
      </c>
      <c r="D67" s="64">
        <v>4</v>
      </c>
      <c r="E67" s="64">
        <v>3</v>
      </c>
      <c r="F67" s="51">
        <v>1</v>
      </c>
      <c r="G67" s="52">
        <v>0.15</v>
      </c>
      <c r="H67" s="53">
        <f t="shared" si="0"/>
        <v>5.333333333333333</v>
      </c>
      <c r="I67" s="54">
        <f t="shared" si="1"/>
        <v>803701.24918357912</v>
      </c>
      <c r="J67" s="55">
        <f t="shared" si="2"/>
        <v>706378.05104025512</v>
      </c>
      <c r="K67" s="56">
        <f>Density!D60</f>
        <v>751850</v>
      </c>
      <c r="L67" s="57">
        <f t="shared" si="3"/>
        <v>803701.24918357912</v>
      </c>
      <c r="M67" s="58">
        <f t="shared" si="4"/>
        <v>6.8964885527138545E-2</v>
      </c>
      <c r="N67" s="59">
        <f t="shared" si="5"/>
        <v>706378.05104025512</v>
      </c>
      <c r="O67" s="60">
        <f t="shared" si="6"/>
        <v>-6.0480081079663343E-2</v>
      </c>
      <c r="Q67" s="14">
        <v>781850</v>
      </c>
      <c r="R67" s="20">
        <f t="shared" si="7"/>
        <v>-30000</v>
      </c>
      <c r="T67" s="20">
        <f t="shared" si="8"/>
        <v>755039.65011191717</v>
      </c>
      <c r="U67" s="61">
        <f t="shared" si="9"/>
        <v>4.2424022237376787E-3</v>
      </c>
      <c r="W67" s="14">
        <v>956000</v>
      </c>
      <c r="X67" s="62">
        <f t="shared" si="10"/>
        <v>0.27153022544390504</v>
      </c>
      <c r="Y67" s="62">
        <f t="shared" si="11"/>
        <v>0.26615867108210156</v>
      </c>
    </row>
    <row r="68" spans="1:25" x14ac:dyDescent="0.35">
      <c r="A68" s="23" t="s">
        <v>78</v>
      </c>
      <c r="B68" s="48">
        <f>Area!D66</f>
        <v>34925.943546736074</v>
      </c>
      <c r="C68" s="49">
        <v>5</v>
      </c>
      <c r="D68" s="64">
        <v>4</v>
      </c>
      <c r="E68" s="64">
        <v>3</v>
      </c>
      <c r="F68" s="51">
        <v>0.25</v>
      </c>
      <c r="G68" s="52">
        <v>0.03</v>
      </c>
      <c r="H68" s="53">
        <f t="shared" si="0"/>
        <v>1.6666666666666665</v>
      </c>
      <c r="I68" s="54">
        <f t="shared" si="1"/>
        <v>58209.905911226786</v>
      </c>
      <c r="J68" s="55">
        <f t="shared" si="2"/>
        <v>32743.072075065073</v>
      </c>
      <c r="K68" s="56">
        <f>Density!D61</f>
        <v>10000</v>
      </c>
      <c r="L68" s="57">
        <f t="shared" si="3"/>
        <v>58209.905911226786</v>
      </c>
      <c r="M68" s="58">
        <f t="shared" si="4"/>
        <v>4.8209905911226789</v>
      </c>
      <c r="N68" s="59">
        <f t="shared" si="5"/>
        <v>32743.072075065073</v>
      </c>
      <c r="O68" s="60">
        <f t="shared" si="6"/>
        <v>2.2743072075065074</v>
      </c>
      <c r="Q68" s="14">
        <v>10000</v>
      </c>
      <c r="R68" s="20">
        <f t="shared" si="7"/>
        <v>0</v>
      </c>
      <c r="T68" s="20">
        <f t="shared" si="8"/>
        <v>45476.488993145933</v>
      </c>
      <c r="U68" s="61">
        <f t="shared" si="9"/>
        <v>3.5476488993145932</v>
      </c>
      <c r="W68" s="14">
        <v>10000</v>
      </c>
      <c r="X68" s="62">
        <f t="shared" si="10"/>
        <v>0</v>
      </c>
      <c r="Y68" s="62">
        <f t="shared" si="11"/>
        <v>-0.7801061554794354</v>
      </c>
    </row>
    <row r="69" spans="1:25" x14ac:dyDescent="0.35">
      <c r="A69" s="23" t="s">
        <v>79</v>
      </c>
      <c r="B69" s="48">
        <f>Area!D67</f>
        <v>175708.51135674556</v>
      </c>
      <c r="C69" s="49">
        <v>5</v>
      </c>
      <c r="D69" s="64">
        <v>4</v>
      </c>
      <c r="E69" s="64">
        <v>3</v>
      </c>
      <c r="F69" s="51">
        <v>1</v>
      </c>
      <c r="G69" s="52">
        <v>0.15</v>
      </c>
      <c r="H69" s="53">
        <f t="shared" si="0"/>
        <v>6.6666666666666661</v>
      </c>
      <c r="I69" s="54">
        <f t="shared" si="1"/>
        <v>1171390.075711637</v>
      </c>
      <c r="J69" s="55">
        <f t="shared" si="2"/>
        <v>823633.64698474482</v>
      </c>
      <c r="K69" s="56">
        <f>Density!D62</f>
        <v>668800</v>
      </c>
      <c r="L69" s="57">
        <f t="shared" si="3"/>
        <v>1171390.075711637</v>
      </c>
      <c r="M69" s="58">
        <f t="shared" si="4"/>
        <v>0.75148037636309362</v>
      </c>
      <c r="N69" s="59">
        <f t="shared" si="5"/>
        <v>823633.64698474482</v>
      </c>
      <c r="O69" s="60">
        <f t="shared" si="6"/>
        <v>0.23150963963030027</v>
      </c>
      <c r="Q69" s="14">
        <v>668800</v>
      </c>
      <c r="R69" s="20">
        <f t="shared" si="7"/>
        <v>0</v>
      </c>
      <c r="T69" s="20">
        <f t="shared" si="8"/>
        <v>997511.86134819093</v>
      </c>
      <c r="U69" s="61">
        <f t="shared" si="9"/>
        <v>0.49149500799669699</v>
      </c>
      <c r="W69" s="14">
        <v>1012000</v>
      </c>
      <c r="X69" s="62">
        <f t="shared" si="10"/>
        <v>0.51315789473684215</v>
      </c>
      <c r="Y69" s="62">
        <f t="shared" si="11"/>
        <v>1.4524277066968983E-2</v>
      </c>
    </row>
    <row r="70" spans="1:25" x14ac:dyDescent="0.35">
      <c r="A70" s="23" t="s">
        <v>224</v>
      </c>
      <c r="B70" s="48">
        <f>Area!D68</f>
        <v>20294.805033914203</v>
      </c>
      <c r="C70" s="49">
        <v>3</v>
      </c>
      <c r="D70" s="64">
        <v>5</v>
      </c>
      <c r="E70" s="64">
        <v>3</v>
      </c>
      <c r="F70" s="51">
        <v>2</v>
      </c>
      <c r="G70" s="52">
        <v>0.3</v>
      </c>
      <c r="H70" s="53">
        <f t="shared" si="0"/>
        <v>10</v>
      </c>
      <c r="I70" s="54">
        <f t="shared" si="1"/>
        <v>202948.05033914204</v>
      </c>
      <c r="J70" s="55">
        <f t="shared" si="2"/>
        <v>190263.79719294564</v>
      </c>
      <c r="K70" s="56">
        <f>Density!D63</f>
        <v>177800</v>
      </c>
      <c r="L70" s="57">
        <f t="shared" si="3"/>
        <v>202948.05033914204</v>
      </c>
      <c r="M70" s="58">
        <f t="shared" si="4"/>
        <v>0.14144010314478084</v>
      </c>
      <c r="N70" s="59">
        <f t="shared" si="5"/>
        <v>190263.79719294564</v>
      </c>
      <c r="O70" s="60">
        <f t="shared" si="6"/>
        <v>7.0100096698231945E-2</v>
      </c>
      <c r="Q70" s="14">
        <v>177800</v>
      </c>
      <c r="R70" s="20">
        <f t="shared" si="7"/>
        <v>0</v>
      </c>
      <c r="T70" s="20">
        <f t="shared" si="8"/>
        <v>196605.92376604385</v>
      </c>
      <c r="U70" s="61">
        <f t="shared" si="9"/>
        <v>0.10577009992150647</v>
      </c>
      <c r="W70" s="14">
        <v>139000</v>
      </c>
      <c r="X70" s="62">
        <f t="shared" si="10"/>
        <v>-0.21822272215973004</v>
      </c>
      <c r="Y70" s="62">
        <f t="shared" si="11"/>
        <v>-0.29300197401271322</v>
      </c>
    </row>
    <row r="71" spans="1:25" x14ac:dyDescent="0.35">
      <c r="A71" s="23" t="s">
        <v>225</v>
      </c>
      <c r="B71" s="48">
        <f>Area!D69</f>
        <v>70256.434702121594</v>
      </c>
      <c r="C71" s="49">
        <v>2</v>
      </c>
      <c r="D71" s="64">
        <v>5</v>
      </c>
      <c r="E71" s="64">
        <v>2</v>
      </c>
      <c r="F71" s="51">
        <v>1</v>
      </c>
      <c r="G71" s="52">
        <v>0.05</v>
      </c>
      <c r="H71" s="53">
        <f t="shared" si="0"/>
        <v>2.2222222222222223</v>
      </c>
      <c r="I71" s="54">
        <f t="shared" si="1"/>
        <v>156125.4104491591</v>
      </c>
      <c r="J71" s="55">
        <f t="shared" si="2"/>
        <v>109775.67922206499</v>
      </c>
      <c r="K71" s="56">
        <f>Density!D64</f>
        <v>160000</v>
      </c>
      <c r="L71" s="57">
        <f t="shared" si="3"/>
        <v>156125.4104491591</v>
      </c>
      <c r="M71" s="58">
        <f t="shared" si="4"/>
        <v>-2.4216184692755632E-2</v>
      </c>
      <c r="N71" s="59">
        <f t="shared" si="5"/>
        <v>109775.67922206499</v>
      </c>
      <c r="O71" s="60">
        <f t="shared" si="6"/>
        <v>-0.3139020048620938</v>
      </c>
      <c r="Q71" s="63">
        <f>40000+120000</f>
        <v>160000</v>
      </c>
      <c r="R71" s="20">
        <f t="shared" si="7"/>
        <v>0</v>
      </c>
      <c r="T71" s="20">
        <f t="shared" si="8"/>
        <v>132950.54483561206</v>
      </c>
      <c r="U71" s="61">
        <f t="shared" si="9"/>
        <v>-0.16905909477742462</v>
      </c>
      <c r="W71" s="63">
        <v>160000</v>
      </c>
      <c r="X71" s="62">
        <f t="shared" si="10"/>
        <v>0</v>
      </c>
      <c r="Y71" s="62">
        <f t="shared" si="11"/>
        <v>0.20345501553102688</v>
      </c>
    </row>
    <row r="72" spans="1:25" x14ac:dyDescent="0.35">
      <c r="A72" s="23" t="s">
        <v>81</v>
      </c>
      <c r="B72" s="48">
        <f>Area!D70</f>
        <v>407918.83872153139</v>
      </c>
      <c r="C72" s="49">
        <v>2</v>
      </c>
      <c r="D72" s="64">
        <v>3</v>
      </c>
      <c r="E72" s="64">
        <v>2</v>
      </c>
      <c r="F72" s="51">
        <v>1</v>
      </c>
      <c r="G72" s="52">
        <v>0.03</v>
      </c>
      <c r="H72" s="53">
        <f t="shared" si="0"/>
        <v>1.3333333333333333</v>
      </c>
      <c r="I72" s="54">
        <f t="shared" si="1"/>
        <v>543891.78496204177</v>
      </c>
      <c r="J72" s="55">
        <f t="shared" si="2"/>
        <v>382423.91130143567</v>
      </c>
      <c r="K72" s="56">
        <f>Density!D65</f>
        <v>120000</v>
      </c>
      <c r="L72" s="57">
        <f t="shared" si="3"/>
        <v>543891.78496204177</v>
      </c>
      <c r="M72" s="58">
        <f t="shared" si="4"/>
        <v>3.532431541350348</v>
      </c>
      <c r="N72" s="59">
        <f t="shared" si="5"/>
        <v>382423.91130143567</v>
      </c>
      <c r="O72" s="60">
        <f t="shared" si="6"/>
        <v>2.1868659275119637</v>
      </c>
      <c r="Q72" s="14">
        <v>120000</v>
      </c>
      <c r="R72" s="20">
        <f t="shared" si="7"/>
        <v>0</v>
      </c>
      <c r="T72" s="20">
        <f t="shared" si="8"/>
        <v>463157.84813173872</v>
      </c>
      <c r="U72" s="61">
        <f t="shared" si="9"/>
        <v>2.8596487344311559</v>
      </c>
      <c r="W72" s="14">
        <v>182000</v>
      </c>
      <c r="X72" s="62">
        <f t="shared" si="10"/>
        <v>0.51666666666666672</v>
      </c>
      <c r="Y72" s="62">
        <f t="shared" si="11"/>
        <v>-0.60704541500453502</v>
      </c>
    </row>
    <row r="73" spans="1:25" x14ac:dyDescent="0.35">
      <c r="A73" s="23" t="s">
        <v>82</v>
      </c>
      <c r="B73" s="48">
        <f>Area!D71</f>
        <v>126690.82610872023</v>
      </c>
      <c r="C73" s="49">
        <v>3</v>
      </c>
      <c r="D73" s="64">
        <v>5</v>
      </c>
      <c r="E73" s="64">
        <v>2</v>
      </c>
      <c r="F73" s="51">
        <v>1</v>
      </c>
      <c r="G73" s="52">
        <v>0.1</v>
      </c>
      <c r="H73" s="53">
        <f t="shared" si="0"/>
        <v>3.333333333333333</v>
      </c>
      <c r="I73" s="54">
        <f t="shared" si="1"/>
        <v>422302.75369573408</v>
      </c>
      <c r="J73" s="55">
        <f t="shared" si="2"/>
        <v>395908.83158975071</v>
      </c>
      <c r="K73" s="56">
        <f>Density!D66</f>
        <v>305900</v>
      </c>
      <c r="L73" s="57">
        <f t="shared" si="3"/>
        <v>422302.75369573408</v>
      </c>
      <c r="M73" s="58">
        <f t="shared" si="4"/>
        <v>0.3805255106104416</v>
      </c>
      <c r="N73" s="59">
        <f t="shared" si="5"/>
        <v>395908.83158975071</v>
      </c>
      <c r="O73" s="60">
        <f t="shared" si="6"/>
        <v>0.294242666197289</v>
      </c>
      <c r="Q73" s="14">
        <v>305900</v>
      </c>
      <c r="R73" s="20">
        <f t="shared" si="7"/>
        <v>0</v>
      </c>
      <c r="T73" s="20">
        <f t="shared" si="8"/>
        <v>409105.7926427424</v>
      </c>
      <c r="U73" s="61">
        <f t="shared" si="9"/>
        <v>0.3373840884038653</v>
      </c>
      <c r="W73" s="14">
        <v>378000</v>
      </c>
      <c r="X73" s="62">
        <f t="shared" si="10"/>
        <v>0.23569794050343248</v>
      </c>
      <c r="Y73" s="62">
        <f t="shared" si="11"/>
        <v>-7.6033615759398404E-2</v>
      </c>
    </row>
    <row r="74" spans="1:25" x14ac:dyDescent="0.35">
      <c r="A74" s="23" t="s">
        <v>83</v>
      </c>
      <c r="B74" s="48">
        <f>Area!D72</f>
        <v>522405.81196932646</v>
      </c>
      <c r="C74" s="49">
        <v>4</v>
      </c>
      <c r="D74" s="64">
        <v>3</v>
      </c>
      <c r="E74" s="64">
        <v>2</v>
      </c>
      <c r="F74" s="51">
        <v>1</v>
      </c>
      <c r="G74" s="52">
        <v>0.1</v>
      </c>
      <c r="H74" s="53">
        <f t="shared" si="0"/>
        <v>2.6666666666666665</v>
      </c>
      <c r="I74" s="54">
        <f t="shared" si="1"/>
        <v>1393082.1652515372</v>
      </c>
      <c r="J74" s="55">
        <f t="shared" si="2"/>
        <v>1632518.1624041451</v>
      </c>
      <c r="K74" s="56">
        <f>Density!D67</f>
        <v>1628300</v>
      </c>
      <c r="L74" s="57">
        <f t="shared" si="3"/>
        <v>1393082.1652515372</v>
      </c>
      <c r="M74" s="58">
        <f t="shared" si="4"/>
        <v>-0.14445607980621678</v>
      </c>
      <c r="N74" s="59">
        <f t="shared" si="5"/>
        <v>1632518.1624041451</v>
      </c>
      <c r="O74" s="60">
        <f t="shared" si="6"/>
        <v>2.5905314770896725E-3</v>
      </c>
      <c r="Q74" s="14">
        <v>1628300</v>
      </c>
      <c r="R74" s="20">
        <f t="shared" si="7"/>
        <v>0</v>
      </c>
      <c r="T74" s="20">
        <f t="shared" si="8"/>
        <v>1512800.1638278412</v>
      </c>
      <c r="U74" s="61">
        <f t="shared" si="9"/>
        <v>-7.0932774164563547E-2</v>
      </c>
      <c r="W74" s="14">
        <v>976000</v>
      </c>
      <c r="X74" s="62">
        <f t="shared" si="10"/>
        <v>-0.40060185469508075</v>
      </c>
      <c r="Y74" s="62">
        <f t="shared" si="11"/>
        <v>-0.3548387795447977</v>
      </c>
    </row>
    <row r="75" spans="1:25" x14ac:dyDescent="0.35">
      <c r="A75" s="23"/>
      <c r="B75" s="26"/>
      <c r="C75" s="64"/>
      <c r="D75" s="64"/>
      <c r="E75" s="64"/>
      <c r="F75" s="65"/>
      <c r="G75" s="66"/>
      <c r="H75" s="67"/>
      <c r="I75" s="59"/>
      <c r="J75" s="59"/>
      <c r="K75" s="59"/>
      <c r="L75" s="59"/>
      <c r="M75" s="68"/>
      <c r="N75" s="59"/>
      <c r="O75" s="68"/>
      <c r="T75" s="20"/>
    </row>
    <row r="76" spans="1:25" ht="37" x14ac:dyDescent="0.45">
      <c r="A76" s="39" t="s">
        <v>254</v>
      </c>
      <c r="B76" s="40" t="s">
        <v>135</v>
      </c>
      <c r="C76" s="41" t="s">
        <v>240</v>
      </c>
      <c r="D76" s="42" t="s">
        <v>241</v>
      </c>
      <c r="E76" s="42" t="s">
        <v>242</v>
      </c>
      <c r="F76" s="40" t="s">
        <v>243</v>
      </c>
      <c r="G76" s="43" t="s">
        <v>244</v>
      </c>
      <c r="H76" s="41" t="s">
        <v>245</v>
      </c>
      <c r="I76" s="44" t="s">
        <v>246</v>
      </c>
      <c r="J76" s="40" t="s">
        <v>246</v>
      </c>
      <c r="K76" s="41" t="s">
        <v>226</v>
      </c>
      <c r="L76" s="45" t="s">
        <v>247</v>
      </c>
      <c r="M76" s="46" t="s">
        <v>248</v>
      </c>
      <c r="N76" s="42" t="s">
        <v>247</v>
      </c>
      <c r="O76" s="47" t="s">
        <v>248</v>
      </c>
      <c r="T76" s="20"/>
    </row>
    <row r="77" spans="1:25" x14ac:dyDescent="0.35">
      <c r="A77" s="23" t="s">
        <v>255</v>
      </c>
      <c r="B77" s="48">
        <v>6500</v>
      </c>
      <c r="C77" s="49">
        <v>4</v>
      </c>
      <c r="D77" s="64">
        <v>4</v>
      </c>
      <c r="E77" s="64">
        <v>3</v>
      </c>
      <c r="F77" s="51">
        <v>1</v>
      </c>
      <c r="G77" s="52">
        <v>0.2</v>
      </c>
      <c r="H77" s="53">
        <f t="shared" ref="H77" si="12">C77*(D77/3)*(E77/3)*F77</f>
        <v>5.333333333333333</v>
      </c>
      <c r="I77" s="54">
        <f t="shared" ref="I77:I79" si="13">B77*H77</f>
        <v>34666.666666666664</v>
      </c>
      <c r="J77" s="55">
        <f t="shared" ref="J77:J79" si="14">G77*B77*250/$G$11</f>
        <v>40625</v>
      </c>
      <c r="K77" s="56"/>
      <c r="L77" s="57">
        <f t="shared" ref="L77:L79" si="15">I77</f>
        <v>34666.666666666664</v>
      </c>
      <c r="M77" s="58" t="e">
        <f t="shared" ref="M77:M79" si="16">(L77-K77)/K77</f>
        <v>#DIV/0!</v>
      </c>
      <c r="N77" s="59">
        <f t="shared" ref="N77:N79" si="17">J77</f>
        <v>40625</v>
      </c>
      <c r="O77" s="60" t="e">
        <f t="shared" ref="O77:O79" si="18">(N77-K77)/K77</f>
        <v>#DIV/0!</v>
      </c>
      <c r="T77" s="20">
        <f t="shared" si="8"/>
        <v>37645.833333333328</v>
      </c>
    </row>
    <row r="78" spans="1:25" x14ac:dyDescent="0.35">
      <c r="A78" s="23" t="s">
        <v>222</v>
      </c>
      <c r="B78" s="32">
        <v>5614887.0241596205</v>
      </c>
      <c r="C78" s="49">
        <v>2</v>
      </c>
      <c r="D78" s="64">
        <v>2</v>
      </c>
      <c r="E78" s="64">
        <v>3</v>
      </c>
      <c r="F78" s="51">
        <v>1</v>
      </c>
      <c r="G78" s="52">
        <v>0.03</v>
      </c>
      <c r="H78" s="53">
        <f>C78*(D78/3)*(E78/3)*F78</f>
        <v>1.3333333333333333</v>
      </c>
      <c r="I78" s="54">
        <f t="shared" si="13"/>
        <v>7486516.0322128274</v>
      </c>
      <c r="J78" s="55">
        <f t="shared" si="14"/>
        <v>5263956.5851496439</v>
      </c>
      <c r="K78" s="56"/>
      <c r="L78" s="57">
        <f t="shared" si="15"/>
        <v>7486516.0322128274</v>
      </c>
      <c r="M78" s="58" t="e">
        <f t="shared" si="16"/>
        <v>#DIV/0!</v>
      </c>
      <c r="N78" s="59">
        <f t="shared" si="17"/>
        <v>5263956.5851496439</v>
      </c>
      <c r="O78" s="60" t="e">
        <f t="shared" si="18"/>
        <v>#DIV/0!</v>
      </c>
    </row>
    <row r="79" spans="1:25" x14ac:dyDescent="0.35">
      <c r="A79" s="23" t="s">
        <v>223</v>
      </c>
      <c r="B79" s="32">
        <v>938987.23946176504</v>
      </c>
      <c r="C79" s="49">
        <v>2</v>
      </c>
      <c r="D79" s="64">
        <v>2</v>
      </c>
      <c r="E79" s="64">
        <v>2</v>
      </c>
      <c r="F79" s="51">
        <v>1</v>
      </c>
      <c r="G79" s="52">
        <v>0.02</v>
      </c>
      <c r="H79" s="53">
        <f>C79*(D79/3)*(E79/3)*F79</f>
        <v>0.88888888888888884</v>
      </c>
      <c r="I79" s="54">
        <f t="shared" si="13"/>
        <v>834655.32396601327</v>
      </c>
      <c r="J79" s="55">
        <f t="shared" si="14"/>
        <v>586867.02466360317</v>
      </c>
      <c r="K79" s="56"/>
      <c r="L79" s="57">
        <f t="shared" si="15"/>
        <v>834655.32396601327</v>
      </c>
      <c r="M79" s="58" t="e">
        <f t="shared" si="16"/>
        <v>#DIV/0!</v>
      </c>
      <c r="N79" s="59">
        <f t="shared" si="17"/>
        <v>586867.02466360317</v>
      </c>
      <c r="O79" s="60" t="e">
        <f t="shared" si="18"/>
        <v>#DIV/0!</v>
      </c>
    </row>
    <row r="80" spans="1:25" x14ac:dyDescent="0.35">
      <c r="A80" s="23"/>
      <c r="B80" s="26"/>
      <c r="C80" s="64"/>
      <c r="D80" s="64"/>
      <c r="E80" s="64"/>
      <c r="F80" s="65"/>
      <c r="G80" s="66"/>
      <c r="H80" s="67"/>
      <c r="I80" s="59"/>
      <c r="J80" s="59"/>
      <c r="K80" s="59"/>
      <c r="L80" s="59"/>
      <c r="M80" s="68"/>
      <c r="N80" s="59"/>
      <c r="O80" s="68"/>
    </row>
    <row r="82" spans="1:1" x14ac:dyDescent="0.35">
      <c r="A82" s="69" t="s">
        <v>256</v>
      </c>
    </row>
    <row r="83" spans="1:1" x14ac:dyDescent="0.35">
      <c r="A83" s="14" t="s">
        <v>257</v>
      </c>
    </row>
    <row r="84" spans="1:1" x14ac:dyDescent="0.35">
      <c r="A84" s="14" t="s">
        <v>258</v>
      </c>
    </row>
    <row r="85" spans="1:1" x14ac:dyDescent="0.35">
      <c r="A85" s="14" t="s">
        <v>259</v>
      </c>
    </row>
    <row r="86" spans="1:1" x14ac:dyDescent="0.35">
      <c r="A86" s="14" t="s">
        <v>260</v>
      </c>
    </row>
    <row r="87" spans="1:1" x14ac:dyDescent="0.35">
      <c r="A87" s="14" t="s">
        <v>261</v>
      </c>
    </row>
    <row r="89" spans="1:1" x14ac:dyDescent="0.35">
      <c r="A89" s="70" t="s">
        <v>262</v>
      </c>
    </row>
    <row r="90" spans="1:1" x14ac:dyDescent="0.35">
      <c r="A90" s="14" t="s">
        <v>263</v>
      </c>
    </row>
    <row r="91" spans="1:1" x14ac:dyDescent="0.35">
      <c r="A91" s="14" t="s">
        <v>264</v>
      </c>
    </row>
    <row r="92" spans="1:1" x14ac:dyDescent="0.35">
      <c r="A92" s="14" t="s">
        <v>265</v>
      </c>
    </row>
    <row r="93" spans="1:1" x14ac:dyDescent="0.35">
      <c r="A93" s="14" t="s">
        <v>266</v>
      </c>
    </row>
    <row r="94" spans="1:1" x14ac:dyDescent="0.35">
      <c r="A94" s="14" t="s">
        <v>267</v>
      </c>
    </row>
    <row r="95" spans="1:1" ht="15.5" x14ac:dyDescent="0.35">
      <c r="A95" s="71" t="s">
        <v>268</v>
      </c>
    </row>
    <row r="97" spans="1:1" x14ac:dyDescent="0.35">
      <c r="A97" s="70" t="s">
        <v>269</v>
      </c>
    </row>
    <row r="98" spans="1:1" x14ac:dyDescent="0.35">
      <c r="A98" s="14" t="s">
        <v>270</v>
      </c>
    </row>
    <row r="99" spans="1:1" x14ac:dyDescent="0.35">
      <c r="A99" s="14" t="s">
        <v>271</v>
      </c>
    </row>
    <row r="100" spans="1:1" x14ac:dyDescent="0.35">
      <c r="A100" s="14" t="s">
        <v>272</v>
      </c>
    </row>
    <row r="101" spans="1:1" x14ac:dyDescent="0.35">
      <c r="A101" s="14" t="s">
        <v>273</v>
      </c>
    </row>
    <row r="102" spans="1:1" x14ac:dyDescent="0.35">
      <c r="A102" s="14" t="s">
        <v>274</v>
      </c>
    </row>
  </sheetData>
  <autoFilter ref="T12:U74" xr:uid="{15E391AB-75B6-493C-891D-CF1943AE76F3}"/>
  <mergeCells count="6">
    <mergeCell ref="C9:F9"/>
    <mergeCell ref="H9:J9"/>
    <mergeCell ref="K9:O9"/>
    <mergeCell ref="H11:I11"/>
    <mergeCell ref="L11:M11"/>
    <mergeCell ref="N11:O11"/>
  </mergeCells>
  <pageMargins left="0.7" right="0.7" top="0.75" bottom="0.75" header="0.3" footer="0.3"/>
  <pageSetup scale="32" fitToHeight="0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380B5-3612-47A1-800B-43A61BA6D02B}">
  <dimension ref="A2:DG351"/>
  <sheetViews>
    <sheetView tabSelected="1" topLeftCell="A9" workbookViewId="0">
      <pane xSplit="11970" ySplit="3110" topLeftCell="AJ35" activePane="bottomRight"/>
      <selection activeCell="F23" sqref="F23"/>
      <selection pane="topRight" activeCell="AT13" sqref="AT13"/>
      <selection pane="bottomLeft" activeCell="D217" sqref="D217"/>
      <selection pane="bottomRight" activeCell="AL61" sqref="AL61"/>
    </sheetView>
  </sheetViews>
  <sheetFormatPr defaultRowHeight="12.5" x14ac:dyDescent="0.25"/>
  <cols>
    <col min="1" max="1" width="14" style="1" customWidth="1"/>
    <col min="2" max="2" width="27.81640625" style="1" customWidth="1"/>
    <col min="3" max="3" width="12.453125" style="1" customWidth="1"/>
    <col min="4" max="4" width="21" style="1" customWidth="1"/>
    <col min="5" max="5" width="10.1796875" style="1" customWidth="1"/>
    <col min="6" max="6" width="13.453125" style="1" customWidth="1"/>
    <col min="7" max="7" width="11.453125" style="1" customWidth="1"/>
    <col min="8" max="8" width="11.26953125" style="1" customWidth="1"/>
    <col min="9" max="9" width="12.81640625" style="1" customWidth="1"/>
    <col min="10" max="10" width="10.54296875" style="1" customWidth="1"/>
    <col min="11" max="11" width="12.1796875" style="1" customWidth="1"/>
    <col min="12" max="12" width="9.1796875" style="1"/>
    <col min="13" max="13" width="10.7265625" style="1" customWidth="1"/>
    <col min="14" max="14" width="11.81640625" style="1" customWidth="1"/>
    <col min="15" max="15" width="9.1796875" style="1"/>
    <col min="16" max="16" width="13.1796875" style="1" bestFit="1" customWidth="1"/>
    <col min="17" max="17" width="9.1796875" style="1"/>
    <col min="18" max="18" width="8.81640625" style="1" bestFit="1" customWidth="1"/>
    <col min="19" max="19" width="12.7265625" style="1" customWidth="1"/>
    <col min="20" max="20" width="8.81640625" style="1" bestFit="1" customWidth="1"/>
    <col min="21" max="21" width="11.54296875" style="1" customWidth="1"/>
    <col min="22" max="22" width="8.81640625" style="1" bestFit="1" customWidth="1"/>
    <col min="23" max="23" width="10.54296875" style="1" customWidth="1"/>
    <col min="24" max="24" width="10.81640625" style="1" customWidth="1"/>
    <col min="25" max="25" width="8.81640625" style="1" bestFit="1" customWidth="1"/>
    <col min="26" max="26" width="13.453125" style="1" customWidth="1"/>
    <col min="27" max="27" width="11.453125" style="1" bestFit="1" customWidth="1"/>
    <col min="28" max="28" width="12.7265625" style="1" customWidth="1"/>
    <col min="29" max="30" width="11.453125" style="1" bestFit="1" customWidth="1"/>
    <col min="31" max="32" width="9.81640625" style="1" bestFit="1" customWidth="1"/>
    <col min="33" max="33" width="11.453125" style="1" bestFit="1" customWidth="1"/>
    <col min="34" max="34" width="12.1796875" style="1" customWidth="1"/>
    <col min="35" max="35" width="9.453125" style="1" customWidth="1"/>
    <col min="36" max="36" width="12.453125" style="1" bestFit="1" customWidth="1"/>
    <col min="37" max="41" width="11.453125" style="1" bestFit="1" customWidth="1"/>
    <col min="42" max="42" width="15.81640625" style="1" customWidth="1"/>
    <col min="43" max="43" width="16" style="1" customWidth="1"/>
    <col min="44" max="44" width="11.7265625" style="1" customWidth="1"/>
    <col min="45" max="45" width="15.54296875" style="1" customWidth="1"/>
    <col min="46" max="46" width="11.7265625" style="1" customWidth="1"/>
    <col min="47" max="48" width="9.1796875" style="1"/>
    <col min="49" max="49" width="10.453125" style="1" customWidth="1"/>
    <col min="50" max="50" width="9.1796875" style="1"/>
    <col min="51" max="51" width="11.453125" style="1" bestFit="1" customWidth="1"/>
    <col min="52" max="54" width="9.1796875" style="1"/>
    <col min="55" max="55" width="17.54296875" style="1" bestFit="1" customWidth="1"/>
    <col min="56" max="56" width="19.453125" style="1" customWidth="1"/>
    <col min="57" max="57" width="17.81640625" style="1" customWidth="1"/>
    <col min="58" max="58" width="19.7265625" style="1" bestFit="1" customWidth="1"/>
    <col min="59" max="71" width="9.1796875" style="1"/>
    <col min="72" max="72" width="10.81640625" style="1" bestFit="1" customWidth="1"/>
    <col min="73" max="90" width="9.1796875" style="1"/>
    <col min="91" max="91" width="10" style="1" bestFit="1" customWidth="1"/>
    <col min="92" max="95" width="9.1796875" style="1"/>
    <col min="96" max="98" width="10" style="1" bestFit="1" customWidth="1"/>
    <col min="99" max="99" width="9.1796875" style="1"/>
    <col min="100" max="101" width="10" style="1" bestFit="1" customWidth="1"/>
    <col min="102" max="102" width="15.1796875" style="1" bestFit="1" customWidth="1"/>
    <col min="103" max="259" width="9.1796875" style="1"/>
    <col min="260" max="260" width="11.453125" style="1" bestFit="1" customWidth="1"/>
    <col min="261" max="261" width="39.453125" style="1" customWidth="1"/>
    <col min="262" max="262" width="9.1796875" style="1"/>
    <col min="263" max="263" width="11.453125" style="1" customWidth="1"/>
    <col min="264" max="264" width="11.26953125" style="1" customWidth="1"/>
    <col min="265" max="515" width="9.1796875" style="1"/>
    <col min="516" max="516" width="11.453125" style="1" bestFit="1" customWidth="1"/>
    <col min="517" max="517" width="39.453125" style="1" customWidth="1"/>
    <col min="518" max="518" width="9.1796875" style="1"/>
    <col min="519" max="519" width="11.453125" style="1" customWidth="1"/>
    <col min="520" max="520" width="11.26953125" style="1" customWidth="1"/>
    <col min="521" max="771" width="9.1796875" style="1"/>
    <col min="772" max="772" width="11.453125" style="1" bestFit="1" customWidth="1"/>
    <col min="773" max="773" width="39.453125" style="1" customWidth="1"/>
    <col min="774" max="774" width="9.1796875" style="1"/>
    <col min="775" max="775" width="11.453125" style="1" customWidth="1"/>
    <col min="776" max="776" width="11.26953125" style="1" customWidth="1"/>
    <col min="777" max="1027" width="9.1796875" style="1"/>
    <col min="1028" max="1028" width="11.453125" style="1" bestFit="1" customWidth="1"/>
    <col min="1029" max="1029" width="39.453125" style="1" customWidth="1"/>
    <col min="1030" max="1030" width="9.1796875" style="1"/>
    <col min="1031" max="1031" width="11.453125" style="1" customWidth="1"/>
    <col min="1032" max="1032" width="11.26953125" style="1" customWidth="1"/>
    <col min="1033" max="1283" width="9.1796875" style="1"/>
    <col min="1284" max="1284" width="11.453125" style="1" bestFit="1" customWidth="1"/>
    <col min="1285" max="1285" width="39.453125" style="1" customWidth="1"/>
    <col min="1286" max="1286" width="9.1796875" style="1"/>
    <col min="1287" max="1287" width="11.453125" style="1" customWidth="1"/>
    <col min="1288" max="1288" width="11.26953125" style="1" customWidth="1"/>
    <col min="1289" max="1539" width="9.1796875" style="1"/>
    <col min="1540" max="1540" width="11.453125" style="1" bestFit="1" customWidth="1"/>
    <col min="1541" max="1541" width="39.453125" style="1" customWidth="1"/>
    <col min="1542" max="1542" width="9.1796875" style="1"/>
    <col min="1543" max="1543" width="11.453125" style="1" customWidth="1"/>
    <col min="1544" max="1544" width="11.26953125" style="1" customWidth="1"/>
    <col min="1545" max="1795" width="9.1796875" style="1"/>
    <col min="1796" max="1796" width="11.453125" style="1" bestFit="1" customWidth="1"/>
    <col min="1797" max="1797" width="39.453125" style="1" customWidth="1"/>
    <col min="1798" max="1798" width="9.1796875" style="1"/>
    <col min="1799" max="1799" width="11.453125" style="1" customWidth="1"/>
    <col min="1800" max="1800" width="11.26953125" style="1" customWidth="1"/>
    <col min="1801" max="2051" width="9.1796875" style="1"/>
    <col min="2052" max="2052" width="11.453125" style="1" bestFit="1" customWidth="1"/>
    <col min="2053" max="2053" width="39.453125" style="1" customWidth="1"/>
    <col min="2054" max="2054" width="9.1796875" style="1"/>
    <col min="2055" max="2055" width="11.453125" style="1" customWidth="1"/>
    <col min="2056" max="2056" width="11.26953125" style="1" customWidth="1"/>
    <col min="2057" max="2307" width="9.1796875" style="1"/>
    <col min="2308" max="2308" width="11.453125" style="1" bestFit="1" customWidth="1"/>
    <col min="2309" max="2309" width="39.453125" style="1" customWidth="1"/>
    <col min="2310" max="2310" width="9.1796875" style="1"/>
    <col min="2311" max="2311" width="11.453125" style="1" customWidth="1"/>
    <col min="2312" max="2312" width="11.26953125" style="1" customWidth="1"/>
    <col min="2313" max="2563" width="9.1796875" style="1"/>
    <col min="2564" max="2564" width="11.453125" style="1" bestFit="1" customWidth="1"/>
    <col min="2565" max="2565" width="39.453125" style="1" customWidth="1"/>
    <col min="2566" max="2566" width="9.1796875" style="1"/>
    <col min="2567" max="2567" width="11.453125" style="1" customWidth="1"/>
    <col min="2568" max="2568" width="11.26953125" style="1" customWidth="1"/>
    <col min="2569" max="2819" width="9.1796875" style="1"/>
    <col min="2820" max="2820" width="11.453125" style="1" bestFit="1" customWidth="1"/>
    <col min="2821" max="2821" width="39.453125" style="1" customWidth="1"/>
    <col min="2822" max="2822" width="9.1796875" style="1"/>
    <col min="2823" max="2823" width="11.453125" style="1" customWidth="1"/>
    <col min="2824" max="2824" width="11.26953125" style="1" customWidth="1"/>
    <col min="2825" max="3075" width="9.1796875" style="1"/>
    <col min="3076" max="3076" width="11.453125" style="1" bestFit="1" customWidth="1"/>
    <col min="3077" max="3077" width="39.453125" style="1" customWidth="1"/>
    <col min="3078" max="3078" width="9.1796875" style="1"/>
    <col min="3079" max="3079" width="11.453125" style="1" customWidth="1"/>
    <col min="3080" max="3080" width="11.26953125" style="1" customWidth="1"/>
    <col min="3081" max="3331" width="9.1796875" style="1"/>
    <col min="3332" max="3332" width="11.453125" style="1" bestFit="1" customWidth="1"/>
    <col min="3333" max="3333" width="39.453125" style="1" customWidth="1"/>
    <col min="3334" max="3334" width="9.1796875" style="1"/>
    <col min="3335" max="3335" width="11.453125" style="1" customWidth="1"/>
    <col min="3336" max="3336" width="11.26953125" style="1" customWidth="1"/>
    <col min="3337" max="3587" width="9.1796875" style="1"/>
    <col min="3588" max="3588" width="11.453125" style="1" bestFit="1" customWidth="1"/>
    <col min="3589" max="3589" width="39.453125" style="1" customWidth="1"/>
    <col min="3590" max="3590" width="9.1796875" style="1"/>
    <col min="3591" max="3591" width="11.453125" style="1" customWidth="1"/>
    <col min="3592" max="3592" width="11.26953125" style="1" customWidth="1"/>
    <col min="3593" max="3843" width="9.1796875" style="1"/>
    <col min="3844" max="3844" width="11.453125" style="1" bestFit="1" customWidth="1"/>
    <col min="3845" max="3845" width="39.453125" style="1" customWidth="1"/>
    <col min="3846" max="3846" width="9.1796875" style="1"/>
    <col min="3847" max="3847" width="11.453125" style="1" customWidth="1"/>
    <col min="3848" max="3848" width="11.26953125" style="1" customWidth="1"/>
    <col min="3849" max="4099" width="9.1796875" style="1"/>
    <col min="4100" max="4100" width="11.453125" style="1" bestFit="1" customWidth="1"/>
    <col min="4101" max="4101" width="39.453125" style="1" customWidth="1"/>
    <col min="4102" max="4102" width="9.1796875" style="1"/>
    <col min="4103" max="4103" width="11.453125" style="1" customWidth="1"/>
    <col min="4104" max="4104" width="11.26953125" style="1" customWidth="1"/>
    <col min="4105" max="4355" width="9.1796875" style="1"/>
    <col min="4356" max="4356" width="11.453125" style="1" bestFit="1" customWidth="1"/>
    <col min="4357" max="4357" width="39.453125" style="1" customWidth="1"/>
    <col min="4358" max="4358" width="9.1796875" style="1"/>
    <col min="4359" max="4359" width="11.453125" style="1" customWidth="1"/>
    <col min="4360" max="4360" width="11.26953125" style="1" customWidth="1"/>
    <col min="4361" max="4611" width="9.1796875" style="1"/>
    <col min="4612" max="4612" width="11.453125" style="1" bestFit="1" customWidth="1"/>
    <col min="4613" max="4613" width="39.453125" style="1" customWidth="1"/>
    <col min="4614" max="4614" width="9.1796875" style="1"/>
    <col min="4615" max="4615" width="11.453125" style="1" customWidth="1"/>
    <col min="4616" max="4616" width="11.26953125" style="1" customWidth="1"/>
    <col min="4617" max="4867" width="9.1796875" style="1"/>
    <col min="4868" max="4868" width="11.453125" style="1" bestFit="1" customWidth="1"/>
    <col min="4869" max="4869" width="39.453125" style="1" customWidth="1"/>
    <col min="4870" max="4870" width="9.1796875" style="1"/>
    <col min="4871" max="4871" width="11.453125" style="1" customWidth="1"/>
    <col min="4872" max="4872" width="11.26953125" style="1" customWidth="1"/>
    <col min="4873" max="5123" width="9.1796875" style="1"/>
    <col min="5124" max="5124" width="11.453125" style="1" bestFit="1" customWidth="1"/>
    <col min="5125" max="5125" width="39.453125" style="1" customWidth="1"/>
    <col min="5126" max="5126" width="9.1796875" style="1"/>
    <col min="5127" max="5127" width="11.453125" style="1" customWidth="1"/>
    <col min="5128" max="5128" width="11.26953125" style="1" customWidth="1"/>
    <col min="5129" max="5379" width="9.1796875" style="1"/>
    <col min="5380" max="5380" width="11.453125" style="1" bestFit="1" customWidth="1"/>
    <col min="5381" max="5381" width="39.453125" style="1" customWidth="1"/>
    <col min="5382" max="5382" width="9.1796875" style="1"/>
    <col min="5383" max="5383" width="11.453125" style="1" customWidth="1"/>
    <col min="5384" max="5384" width="11.26953125" style="1" customWidth="1"/>
    <col min="5385" max="5635" width="9.1796875" style="1"/>
    <col min="5636" max="5636" width="11.453125" style="1" bestFit="1" customWidth="1"/>
    <col min="5637" max="5637" width="39.453125" style="1" customWidth="1"/>
    <col min="5638" max="5638" width="9.1796875" style="1"/>
    <col min="5639" max="5639" width="11.453125" style="1" customWidth="1"/>
    <col min="5640" max="5640" width="11.26953125" style="1" customWidth="1"/>
    <col min="5641" max="5891" width="9.1796875" style="1"/>
    <col min="5892" max="5892" width="11.453125" style="1" bestFit="1" customWidth="1"/>
    <col min="5893" max="5893" width="39.453125" style="1" customWidth="1"/>
    <col min="5894" max="5894" width="9.1796875" style="1"/>
    <col min="5895" max="5895" width="11.453125" style="1" customWidth="1"/>
    <col min="5896" max="5896" width="11.26953125" style="1" customWidth="1"/>
    <col min="5897" max="6147" width="9.1796875" style="1"/>
    <col min="6148" max="6148" width="11.453125" style="1" bestFit="1" customWidth="1"/>
    <col min="6149" max="6149" width="39.453125" style="1" customWidth="1"/>
    <col min="6150" max="6150" width="9.1796875" style="1"/>
    <col min="6151" max="6151" width="11.453125" style="1" customWidth="1"/>
    <col min="6152" max="6152" width="11.26953125" style="1" customWidth="1"/>
    <col min="6153" max="6403" width="9.1796875" style="1"/>
    <col min="6404" max="6404" width="11.453125" style="1" bestFit="1" customWidth="1"/>
    <col min="6405" max="6405" width="39.453125" style="1" customWidth="1"/>
    <col min="6406" max="6406" width="9.1796875" style="1"/>
    <col min="6407" max="6407" width="11.453125" style="1" customWidth="1"/>
    <col min="6408" max="6408" width="11.26953125" style="1" customWidth="1"/>
    <col min="6409" max="6659" width="9.1796875" style="1"/>
    <col min="6660" max="6660" width="11.453125" style="1" bestFit="1" customWidth="1"/>
    <col min="6661" max="6661" width="39.453125" style="1" customWidth="1"/>
    <col min="6662" max="6662" width="9.1796875" style="1"/>
    <col min="6663" max="6663" width="11.453125" style="1" customWidth="1"/>
    <col min="6664" max="6664" width="11.26953125" style="1" customWidth="1"/>
    <col min="6665" max="6915" width="9.1796875" style="1"/>
    <col min="6916" max="6916" width="11.453125" style="1" bestFit="1" customWidth="1"/>
    <col min="6917" max="6917" width="39.453125" style="1" customWidth="1"/>
    <col min="6918" max="6918" width="9.1796875" style="1"/>
    <col min="6919" max="6919" width="11.453125" style="1" customWidth="1"/>
    <col min="6920" max="6920" width="11.26953125" style="1" customWidth="1"/>
    <col min="6921" max="7171" width="9.1796875" style="1"/>
    <col min="7172" max="7172" width="11.453125" style="1" bestFit="1" customWidth="1"/>
    <col min="7173" max="7173" width="39.453125" style="1" customWidth="1"/>
    <col min="7174" max="7174" width="9.1796875" style="1"/>
    <col min="7175" max="7175" width="11.453125" style="1" customWidth="1"/>
    <col min="7176" max="7176" width="11.26953125" style="1" customWidth="1"/>
    <col min="7177" max="7427" width="9.1796875" style="1"/>
    <col min="7428" max="7428" width="11.453125" style="1" bestFit="1" customWidth="1"/>
    <col min="7429" max="7429" width="39.453125" style="1" customWidth="1"/>
    <col min="7430" max="7430" width="9.1796875" style="1"/>
    <col min="7431" max="7431" width="11.453125" style="1" customWidth="1"/>
    <col min="7432" max="7432" width="11.26953125" style="1" customWidth="1"/>
    <col min="7433" max="7683" width="9.1796875" style="1"/>
    <col min="7684" max="7684" width="11.453125" style="1" bestFit="1" customWidth="1"/>
    <col min="7685" max="7685" width="39.453125" style="1" customWidth="1"/>
    <col min="7686" max="7686" width="9.1796875" style="1"/>
    <col min="7687" max="7687" width="11.453125" style="1" customWidth="1"/>
    <col min="7688" max="7688" width="11.26953125" style="1" customWidth="1"/>
    <col min="7689" max="7939" width="9.1796875" style="1"/>
    <col min="7940" max="7940" width="11.453125" style="1" bestFit="1" customWidth="1"/>
    <col min="7941" max="7941" width="39.453125" style="1" customWidth="1"/>
    <col min="7942" max="7942" width="9.1796875" style="1"/>
    <col min="7943" max="7943" width="11.453125" style="1" customWidth="1"/>
    <col min="7944" max="7944" width="11.26953125" style="1" customWidth="1"/>
    <col min="7945" max="8195" width="9.1796875" style="1"/>
    <col min="8196" max="8196" width="11.453125" style="1" bestFit="1" customWidth="1"/>
    <col min="8197" max="8197" width="39.453125" style="1" customWidth="1"/>
    <col min="8198" max="8198" width="9.1796875" style="1"/>
    <col min="8199" max="8199" width="11.453125" style="1" customWidth="1"/>
    <col min="8200" max="8200" width="11.26953125" style="1" customWidth="1"/>
    <col min="8201" max="8451" width="9.1796875" style="1"/>
    <col min="8452" max="8452" width="11.453125" style="1" bestFit="1" customWidth="1"/>
    <col min="8453" max="8453" width="39.453125" style="1" customWidth="1"/>
    <col min="8454" max="8454" width="9.1796875" style="1"/>
    <col min="8455" max="8455" width="11.453125" style="1" customWidth="1"/>
    <col min="8456" max="8456" width="11.26953125" style="1" customWidth="1"/>
    <col min="8457" max="8707" width="9.1796875" style="1"/>
    <col min="8708" max="8708" width="11.453125" style="1" bestFit="1" customWidth="1"/>
    <col min="8709" max="8709" width="39.453125" style="1" customWidth="1"/>
    <col min="8710" max="8710" width="9.1796875" style="1"/>
    <col min="8711" max="8711" width="11.453125" style="1" customWidth="1"/>
    <col min="8712" max="8712" width="11.26953125" style="1" customWidth="1"/>
    <col min="8713" max="8963" width="9.1796875" style="1"/>
    <col min="8964" max="8964" width="11.453125" style="1" bestFit="1" customWidth="1"/>
    <col min="8965" max="8965" width="39.453125" style="1" customWidth="1"/>
    <col min="8966" max="8966" width="9.1796875" style="1"/>
    <col min="8967" max="8967" width="11.453125" style="1" customWidth="1"/>
    <col min="8968" max="8968" width="11.26953125" style="1" customWidth="1"/>
    <col min="8969" max="9219" width="9.1796875" style="1"/>
    <col min="9220" max="9220" width="11.453125" style="1" bestFit="1" customWidth="1"/>
    <col min="9221" max="9221" width="39.453125" style="1" customWidth="1"/>
    <col min="9222" max="9222" width="9.1796875" style="1"/>
    <col min="9223" max="9223" width="11.453125" style="1" customWidth="1"/>
    <col min="9224" max="9224" width="11.26953125" style="1" customWidth="1"/>
    <col min="9225" max="9475" width="9.1796875" style="1"/>
    <col min="9476" max="9476" width="11.453125" style="1" bestFit="1" customWidth="1"/>
    <col min="9477" max="9477" width="39.453125" style="1" customWidth="1"/>
    <col min="9478" max="9478" width="9.1796875" style="1"/>
    <col min="9479" max="9479" width="11.453125" style="1" customWidth="1"/>
    <col min="9480" max="9480" width="11.26953125" style="1" customWidth="1"/>
    <col min="9481" max="9731" width="9.1796875" style="1"/>
    <col min="9732" max="9732" width="11.453125" style="1" bestFit="1" customWidth="1"/>
    <col min="9733" max="9733" width="39.453125" style="1" customWidth="1"/>
    <col min="9734" max="9734" width="9.1796875" style="1"/>
    <col min="9735" max="9735" width="11.453125" style="1" customWidth="1"/>
    <col min="9736" max="9736" width="11.26953125" style="1" customWidth="1"/>
    <col min="9737" max="9987" width="9.1796875" style="1"/>
    <col min="9988" max="9988" width="11.453125" style="1" bestFit="1" customWidth="1"/>
    <col min="9989" max="9989" width="39.453125" style="1" customWidth="1"/>
    <col min="9990" max="9990" width="9.1796875" style="1"/>
    <col min="9991" max="9991" width="11.453125" style="1" customWidth="1"/>
    <col min="9992" max="9992" width="11.26953125" style="1" customWidth="1"/>
    <col min="9993" max="10243" width="9.1796875" style="1"/>
    <col min="10244" max="10244" width="11.453125" style="1" bestFit="1" customWidth="1"/>
    <col min="10245" max="10245" width="39.453125" style="1" customWidth="1"/>
    <col min="10246" max="10246" width="9.1796875" style="1"/>
    <col min="10247" max="10247" width="11.453125" style="1" customWidth="1"/>
    <col min="10248" max="10248" width="11.26953125" style="1" customWidth="1"/>
    <col min="10249" max="10499" width="9.1796875" style="1"/>
    <col min="10500" max="10500" width="11.453125" style="1" bestFit="1" customWidth="1"/>
    <col min="10501" max="10501" width="39.453125" style="1" customWidth="1"/>
    <col min="10502" max="10502" width="9.1796875" style="1"/>
    <col min="10503" max="10503" width="11.453125" style="1" customWidth="1"/>
    <col min="10504" max="10504" width="11.26953125" style="1" customWidth="1"/>
    <col min="10505" max="10755" width="9.1796875" style="1"/>
    <col min="10756" max="10756" width="11.453125" style="1" bestFit="1" customWidth="1"/>
    <col min="10757" max="10757" width="39.453125" style="1" customWidth="1"/>
    <col min="10758" max="10758" width="9.1796875" style="1"/>
    <col min="10759" max="10759" width="11.453125" style="1" customWidth="1"/>
    <col min="10760" max="10760" width="11.26953125" style="1" customWidth="1"/>
    <col min="10761" max="11011" width="9.1796875" style="1"/>
    <col min="11012" max="11012" width="11.453125" style="1" bestFit="1" customWidth="1"/>
    <col min="11013" max="11013" width="39.453125" style="1" customWidth="1"/>
    <col min="11014" max="11014" width="9.1796875" style="1"/>
    <col min="11015" max="11015" width="11.453125" style="1" customWidth="1"/>
    <col min="11016" max="11016" width="11.26953125" style="1" customWidth="1"/>
    <col min="11017" max="11267" width="9.1796875" style="1"/>
    <col min="11268" max="11268" width="11.453125" style="1" bestFit="1" customWidth="1"/>
    <col min="11269" max="11269" width="39.453125" style="1" customWidth="1"/>
    <col min="11270" max="11270" width="9.1796875" style="1"/>
    <col min="11271" max="11271" width="11.453125" style="1" customWidth="1"/>
    <col min="11272" max="11272" width="11.26953125" style="1" customWidth="1"/>
    <col min="11273" max="11523" width="9.1796875" style="1"/>
    <col min="11524" max="11524" width="11.453125" style="1" bestFit="1" customWidth="1"/>
    <col min="11525" max="11525" width="39.453125" style="1" customWidth="1"/>
    <col min="11526" max="11526" width="9.1796875" style="1"/>
    <col min="11527" max="11527" width="11.453125" style="1" customWidth="1"/>
    <col min="11528" max="11528" width="11.26953125" style="1" customWidth="1"/>
    <col min="11529" max="11779" width="9.1796875" style="1"/>
    <col min="11780" max="11780" width="11.453125" style="1" bestFit="1" customWidth="1"/>
    <col min="11781" max="11781" width="39.453125" style="1" customWidth="1"/>
    <col min="11782" max="11782" width="9.1796875" style="1"/>
    <col min="11783" max="11783" width="11.453125" style="1" customWidth="1"/>
    <col min="11784" max="11784" width="11.26953125" style="1" customWidth="1"/>
    <col min="11785" max="12035" width="9.1796875" style="1"/>
    <col min="12036" max="12036" width="11.453125" style="1" bestFit="1" customWidth="1"/>
    <col min="12037" max="12037" width="39.453125" style="1" customWidth="1"/>
    <col min="12038" max="12038" width="9.1796875" style="1"/>
    <col min="12039" max="12039" width="11.453125" style="1" customWidth="1"/>
    <col min="12040" max="12040" width="11.26953125" style="1" customWidth="1"/>
    <col min="12041" max="12291" width="9.1796875" style="1"/>
    <col min="12292" max="12292" width="11.453125" style="1" bestFit="1" customWidth="1"/>
    <col min="12293" max="12293" width="39.453125" style="1" customWidth="1"/>
    <col min="12294" max="12294" width="9.1796875" style="1"/>
    <col min="12295" max="12295" width="11.453125" style="1" customWidth="1"/>
    <col min="12296" max="12296" width="11.26953125" style="1" customWidth="1"/>
    <col min="12297" max="12547" width="9.1796875" style="1"/>
    <col min="12548" max="12548" width="11.453125" style="1" bestFit="1" customWidth="1"/>
    <col min="12549" max="12549" width="39.453125" style="1" customWidth="1"/>
    <col min="12550" max="12550" width="9.1796875" style="1"/>
    <col min="12551" max="12551" width="11.453125" style="1" customWidth="1"/>
    <col min="12552" max="12552" width="11.26953125" style="1" customWidth="1"/>
    <col min="12553" max="12803" width="9.1796875" style="1"/>
    <col min="12804" max="12804" width="11.453125" style="1" bestFit="1" customWidth="1"/>
    <col min="12805" max="12805" width="39.453125" style="1" customWidth="1"/>
    <col min="12806" max="12806" width="9.1796875" style="1"/>
    <col min="12807" max="12807" width="11.453125" style="1" customWidth="1"/>
    <col min="12808" max="12808" width="11.26953125" style="1" customWidth="1"/>
    <col min="12809" max="13059" width="9.1796875" style="1"/>
    <col min="13060" max="13060" width="11.453125" style="1" bestFit="1" customWidth="1"/>
    <col min="13061" max="13061" width="39.453125" style="1" customWidth="1"/>
    <col min="13062" max="13062" width="9.1796875" style="1"/>
    <col min="13063" max="13063" width="11.453125" style="1" customWidth="1"/>
    <col min="13064" max="13064" width="11.26953125" style="1" customWidth="1"/>
    <col min="13065" max="13315" width="9.1796875" style="1"/>
    <col min="13316" max="13316" width="11.453125" style="1" bestFit="1" customWidth="1"/>
    <col min="13317" max="13317" width="39.453125" style="1" customWidth="1"/>
    <col min="13318" max="13318" width="9.1796875" style="1"/>
    <col min="13319" max="13319" width="11.453125" style="1" customWidth="1"/>
    <col min="13320" max="13320" width="11.26953125" style="1" customWidth="1"/>
    <col min="13321" max="13571" width="9.1796875" style="1"/>
    <col min="13572" max="13572" width="11.453125" style="1" bestFit="1" customWidth="1"/>
    <col min="13573" max="13573" width="39.453125" style="1" customWidth="1"/>
    <col min="13574" max="13574" width="9.1796875" style="1"/>
    <col min="13575" max="13575" width="11.453125" style="1" customWidth="1"/>
    <col min="13576" max="13576" width="11.26953125" style="1" customWidth="1"/>
    <col min="13577" max="13827" width="9.1796875" style="1"/>
    <col min="13828" max="13828" width="11.453125" style="1" bestFit="1" customWidth="1"/>
    <col min="13829" max="13829" width="39.453125" style="1" customWidth="1"/>
    <col min="13830" max="13830" width="9.1796875" style="1"/>
    <col min="13831" max="13831" width="11.453125" style="1" customWidth="1"/>
    <col min="13832" max="13832" width="11.26953125" style="1" customWidth="1"/>
    <col min="13833" max="14083" width="9.1796875" style="1"/>
    <col min="14084" max="14084" width="11.453125" style="1" bestFit="1" customWidth="1"/>
    <col min="14085" max="14085" width="39.453125" style="1" customWidth="1"/>
    <col min="14086" max="14086" width="9.1796875" style="1"/>
    <col min="14087" max="14087" width="11.453125" style="1" customWidth="1"/>
    <col min="14088" max="14088" width="11.26953125" style="1" customWidth="1"/>
    <col min="14089" max="14339" width="9.1796875" style="1"/>
    <col min="14340" max="14340" width="11.453125" style="1" bestFit="1" customWidth="1"/>
    <col min="14341" max="14341" width="39.453125" style="1" customWidth="1"/>
    <col min="14342" max="14342" width="9.1796875" style="1"/>
    <col min="14343" max="14343" width="11.453125" style="1" customWidth="1"/>
    <col min="14344" max="14344" width="11.26953125" style="1" customWidth="1"/>
    <col min="14345" max="14595" width="9.1796875" style="1"/>
    <col min="14596" max="14596" width="11.453125" style="1" bestFit="1" customWidth="1"/>
    <col min="14597" max="14597" width="39.453125" style="1" customWidth="1"/>
    <col min="14598" max="14598" width="9.1796875" style="1"/>
    <col min="14599" max="14599" width="11.453125" style="1" customWidth="1"/>
    <col min="14600" max="14600" width="11.26953125" style="1" customWidth="1"/>
    <col min="14601" max="14851" width="9.1796875" style="1"/>
    <col min="14852" max="14852" width="11.453125" style="1" bestFit="1" customWidth="1"/>
    <col min="14853" max="14853" width="39.453125" style="1" customWidth="1"/>
    <col min="14854" max="14854" width="9.1796875" style="1"/>
    <col min="14855" max="14855" width="11.453125" style="1" customWidth="1"/>
    <col min="14856" max="14856" width="11.26953125" style="1" customWidth="1"/>
    <col min="14857" max="15107" width="9.1796875" style="1"/>
    <col min="15108" max="15108" width="11.453125" style="1" bestFit="1" customWidth="1"/>
    <col min="15109" max="15109" width="39.453125" style="1" customWidth="1"/>
    <col min="15110" max="15110" width="9.1796875" style="1"/>
    <col min="15111" max="15111" width="11.453125" style="1" customWidth="1"/>
    <col min="15112" max="15112" width="11.26953125" style="1" customWidth="1"/>
    <col min="15113" max="15363" width="9.1796875" style="1"/>
    <col min="15364" max="15364" width="11.453125" style="1" bestFit="1" customWidth="1"/>
    <col min="15365" max="15365" width="39.453125" style="1" customWidth="1"/>
    <col min="15366" max="15366" width="9.1796875" style="1"/>
    <col min="15367" max="15367" width="11.453125" style="1" customWidth="1"/>
    <col min="15368" max="15368" width="11.26953125" style="1" customWidth="1"/>
    <col min="15369" max="15619" width="9.1796875" style="1"/>
    <col min="15620" max="15620" width="11.453125" style="1" bestFit="1" customWidth="1"/>
    <col min="15621" max="15621" width="39.453125" style="1" customWidth="1"/>
    <col min="15622" max="15622" width="9.1796875" style="1"/>
    <col min="15623" max="15623" width="11.453125" style="1" customWidth="1"/>
    <col min="15624" max="15624" width="11.26953125" style="1" customWidth="1"/>
    <col min="15625" max="15875" width="9.1796875" style="1"/>
    <col min="15876" max="15876" width="11.453125" style="1" bestFit="1" customWidth="1"/>
    <col min="15877" max="15877" width="39.453125" style="1" customWidth="1"/>
    <col min="15878" max="15878" width="9.1796875" style="1"/>
    <col min="15879" max="15879" width="11.453125" style="1" customWidth="1"/>
    <col min="15880" max="15880" width="11.26953125" style="1" customWidth="1"/>
    <col min="15881" max="16131" width="9.1796875" style="1"/>
    <col min="16132" max="16132" width="11.453125" style="1" bestFit="1" customWidth="1"/>
    <col min="16133" max="16133" width="39.453125" style="1" customWidth="1"/>
    <col min="16134" max="16134" width="9.1796875" style="1"/>
    <col min="16135" max="16135" width="11.453125" style="1" customWidth="1"/>
    <col min="16136" max="16136" width="11.26953125" style="1" customWidth="1"/>
    <col min="16137" max="16384" width="9.1796875" style="1"/>
  </cols>
  <sheetData>
    <row r="2" spans="1:56" x14ac:dyDescent="0.25">
      <c r="A2" s="1" t="s">
        <v>275</v>
      </c>
      <c r="S2" s="72" t="s">
        <v>276</v>
      </c>
      <c r="AC2" s="72" t="s">
        <v>277</v>
      </c>
      <c r="AM2" s="72" t="s">
        <v>372</v>
      </c>
      <c r="AW2" s="72" t="s">
        <v>373</v>
      </c>
    </row>
    <row r="3" spans="1:56" ht="26" x14ac:dyDescent="0.3">
      <c r="H3" s="73" t="s">
        <v>278</v>
      </c>
      <c r="I3" s="73" t="s">
        <v>279</v>
      </c>
      <c r="J3" s="73" t="s">
        <v>280</v>
      </c>
      <c r="K3" s="73" t="s">
        <v>281</v>
      </c>
      <c r="L3" s="73" t="s">
        <v>282</v>
      </c>
      <c r="M3" s="73" t="s">
        <v>283</v>
      </c>
      <c r="N3" s="102" t="s">
        <v>284</v>
      </c>
      <c r="O3" s="73" t="s">
        <v>285</v>
      </c>
      <c r="P3" s="73" t="s">
        <v>286</v>
      </c>
      <c r="S3" s="8" t="s">
        <v>278</v>
      </c>
      <c r="T3" s="8" t="s">
        <v>279</v>
      </c>
      <c r="U3" s="8" t="s">
        <v>280</v>
      </c>
      <c r="V3" s="8" t="s">
        <v>287</v>
      </c>
      <c r="W3" s="8" t="s">
        <v>282</v>
      </c>
      <c r="X3" s="8" t="s">
        <v>283</v>
      </c>
      <c r="Y3" s="8" t="s">
        <v>0</v>
      </c>
      <c r="Z3" s="73" t="s">
        <v>288</v>
      </c>
      <c r="AC3" s="8" t="s">
        <v>278</v>
      </c>
      <c r="AD3" s="8" t="s">
        <v>279</v>
      </c>
      <c r="AE3" s="8" t="s">
        <v>280</v>
      </c>
      <c r="AF3" s="8" t="s">
        <v>287</v>
      </c>
      <c r="AG3" s="8" t="s">
        <v>282</v>
      </c>
      <c r="AH3" s="8" t="s">
        <v>283</v>
      </c>
      <c r="AI3" s="8" t="s">
        <v>0</v>
      </c>
      <c r="AJ3" s="73" t="s">
        <v>288</v>
      </c>
      <c r="AK3" s="73"/>
      <c r="AM3" s="8" t="s">
        <v>278</v>
      </c>
      <c r="AN3" s="8" t="s">
        <v>279</v>
      </c>
      <c r="AO3" s="8" t="s">
        <v>280</v>
      </c>
      <c r="AP3" s="8" t="s">
        <v>287</v>
      </c>
      <c r="AQ3" s="8" t="s">
        <v>282</v>
      </c>
      <c r="AR3" s="8" t="s">
        <v>283</v>
      </c>
      <c r="AS3" s="8" t="s">
        <v>0</v>
      </c>
      <c r="AT3" s="73" t="s">
        <v>288</v>
      </c>
      <c r="AU3" s="2"/>
      <c r="AW3" s="8" t="s">
        <v>278</v>
      </c>
      <c r="AX3" s="8" t="s">
        <v>279</v>
      </c>
      <c r="AY3" s="8" t="s">
        <v>280</v>
      </c>
      <c r="AZ3" s="8" t="s">
        <v>287</v>
      </c>
      <c r="BA3" s="8" t="s">
        <v>282</v>
      </c>
      <c r="BB3" s="8" t="s">
        <v>283</v>
      </c>
      <c r="BC3" s="8" t="s">
        <v>288</v>
      </c>
    </row>
    <row r="4" spans="1:56" x14ac:dyDescent="0.25">
      <c r="G4" s="2" t="s">
        <v>5</v>
      </c>
      <c r="H4" s="74" t="s">
        <v>289</v>
      </c>
      <c r="I4" s="2" t="s">
        <v>290</v>
      </c>
      <c r="J4" s="2" t="s">
        <v>291</v>
      </c>
      <c r="K4" s="2" t="s">
        <v>336</v>
      </c>
      <c r="L4" s="2" t="s">
        <v>337</v>
      </c>
      <c r="M4" s="2" t="s">
        <v>338</v>
      </c>
      <c r="N4" s="103" t="s">
        <v>385</v>
      </c>
      <c r="O4" s="1">
        <f>D85</f>
        <v>4</v>
      </c>
      <c r="P4" s="1">
        <f>D86</f>
        <v>3.6</v>
      </c>
      <c r="R4" s="2" t="s">
        <v>5</v>
      </c>
      <c r="S4" s="4">
        <f>D89</f>
        <v>186.62400000000002</v>
      </c>
      <c r="T4" s="4">
        <f>D90</f>
        <v>80.863199999999992</v>
      </c>
      <c r="U4" s="4">
        <f>D91</f>
        <v>330</v>
      </c>
      <c r="V4" s="4">
        <f>D737</f>
        <v>0</v>
      </c>
      <c r="W4" s="4">
        <f>D93</f>
        <v>0</v>
      </c>
      <c r="X4" s="4">
        <f>D94</f>
        <v>0</v>
      </c>
      <c r="Y4" s="4">
        <f>SUM(S4:X4)</f>
        <v>597.48720000000003</v>
      </c>
      <c r="Z4" s="4">
        <f>U4+10/15*T4+V4</f>
        <v>383.90879999999999</v>
      </c>
      <c r="AA4" s="75"/>
      <c r="AB4" s="2" t="s">
        <v>5</v>
      </c>
      <c r="AC4" s="4">
        <f>D97</f>
        <v>201.55392000000003</v>
      </c>
      <c r="AD4" s="4">
        <f>D98</f>
        <v>203.2459776</v>
      </c>
      <c r="AE4" s="4">
        <f>D99</f>
        <v>321.40800000000002</v>
      </c>
      <c r="AF4" s="4">
        <f>D100</f>
        <v>347.04</v>
      </c>
      <c r="AG4" s="4">
        <f>D101</f>
        <v>280.5</v>
      </c>
      <c r="AH4" s="4">
        <f>D102</f>
        <v>108</v>
      </c>
      <c r="AI4" s="4">
        <f>SUM(AC4:AH4)</f>
        <v>1461.7478976</v>
      </c>
      <c r="AJ4" s="4">
        <f>AE4+10/15*AD4+AF4</f>
        <v>803.94531840000002</v>
      </c>
      <c r="AK4" s="6"/>
      <c r="AL4" s="2" t="s">
        <v>5</v>
      </c>
      <c r="AM4" s="4">
        <f>D105</f>
        <v>2396.0999952796728</v>
      </c>
      <c r="AN4" s="4">
        <f>D106</f>
        <v>1038.2175558250772</v>
      </c>
      <c r="AO4" s="4">
        <f>D107</f>
        <v>4236.9309330112528</v>
      </c>
      <c r="AP4" s="4">
        <f>D108</f>
        <v>2578.5362496356361</v>
      </c>
      <c r="AQ4" s="4">
        <f>D109</f>
        <v>2084.138479779841</v>
      </c>
      <c r="AR4" s="4">
        <f>D110</f>
        <v>895.32508667904028</v>
      </c>
      <c r="AS4" s="4">
        <f>SUM(AM4:AR4)</f>
        <v>13229.248300210522</v>
      </c>
      <c r="AT4" s="4">
        <f>AO4+10/15*AN4+AP4</f>
        <v>7507.6122198636076</v>
      </c>
      <c r="AV4" s="2" t="s">
        <v>5</v>
      </c>
      <c r="AW4" s="6">
        <f>34/450</f>
        <v>7.5555555555555556E-2</v>
      </c>
      <c r="AX4" s="6">
        <f>16/450</f>
        <v>3.5555555555555556E-2</v>
      </c>
      <c r="AY4" s="6">
        <f>100/450</f>
        <v>0.22222222222222221</v>
      </c>
      <c r="AZ4" s="6">
        <f>100/450</f>
        <v>0.22222222222222221</v>
      </c>
      <c r="BA4" s="6">
        <f>100/450</f>
        <v>0.22222222222222221</v>
      </c>
      <c r="BB4" s="6">
        <f>100/450</f>
        <v>0.22222222222222221</v>
      </c>
      <c r="BC4" s="6"/>
      <c r="BD4" s="2" t="s">
        <v>374</v>
      </c>
    </row>
    <row r="5" spans="1:56" ht="13" x14ac:dyDescent="0.3">
      <c r="M5" s="1">
        <v>450</v>
      </c>
      <c r="N5" s="88">
        <f>(42+100)/2</f>
        <v>71</v>
      </c>
      <c r="S5" s="6">
        <f t="shared" ref="S5:X5" si="0">S4/$Y4</f>
        <v>0.31234811390101747</v>
      </c>
      <c r="T5" s="6">
        <f t="shared" si="0"/>
        <v>0.13533879888975026</v>
      </c>
      <c r="U5" s="6">
        <f t="shared" si="0"/>
        <v>0.55231308720923222</v>
      </c>
      <c r="V5" s="6">
        <f t="shared" si="0"/>
        <v>0</v>
      </c>
      <c r="W5" s="6">
        <f t="shared" si="0"/>
        <v>0</v>
      </c>
      <c r="X5" s="6">
        <f t="shared" si="0"/>
        <v>0</v>
      </c>
      <c r="Y5" s="6"/>
      <c r="Z5" s="6">
        <f>Z4/$Y4</f>
        <v>0.64253895313573239</v>
      </c>
      <c r="AA5" s="75"/>
      <c r="AC5" s="6">
        <f t="shared" ref="AC5:AH5" si="1">AC4/$AI4</f>
        <v>0.13788555491061447</v>
      </c>
      <c r="AD5" s="6">
        <f t="shared" si="1"/>
        <v>0.13904311265554306</v>
      </c>
      <c r="AE5" s="6">
        <f t="shared" si="1"/>
        <v>0.21987922850972466</v>
      </c>
      <c r="AF5" s="6">
        <f t="shared" si="1"/>
        <v>0.2374143999589769</v>
      </c>
      <c r="AG5" s="6">
        <f t="shared" si="1"/>
        <v>0.19189355460031415</v>
      </c>
      <c r="AH5" s="6">
        <f t="shared" si="1"/>
        <v>7.3884149364826832E-2</v>
      </c>
      <c r="AI5" s="6"/>
      <c r="AJ5" s="6">
        <f>AJ4/$AI4</f>
        <v>0.54998903690573031</v>
      </c>
      <c r="AK5" s="6"/>
      <c r="AM5" s="6">
        <f t="shared" ref="AM5:AR5" si="2">AM4/$AS4</f>
        <v>0.18112140167794286</v>
      </c>
      <c r="AN5" s="6">
        <f t="shared" si="2"/>
        <v>7.8478953018710496E-2</v>
      </c>
      <c r="AO5" s="6">
        <f t="shared" si="2"/>
        <v>0.32026996824481924</v>
      </c>
      <c r="AP5" s="6">
        <f t="shared" si="2"/>
        <v>0.19491177360353898</v>
      </c>
      <c r="AQ5" s="6">
        <f t="shared" si="2"/>
        <v>0.15754020428709281</v>
      </c>
      <c r="AR5" s="6">
        <f t="shared" si="2"/>
        <v>6.7677699167895483E-2</v>
      </c>
      <c r="AS5" s="6"/>
      <c r="AT5" s="6">
        <f>AT4/$AS4</f>
        <v>0.56750104386083189</v>
      </c>
      <c r="AW5" s="99">
        <f t="shared" ref="AW5:BB5" si="3">(S5+AC5+AM5)/3</f>
        <v>0.21045169016319162</v>
      </c>
      <c r="AX5" s="99">
        <f t="shared" si="3"/>
        <v>0.11762028818800128</v>
      </c>
      <c r="AY5" s="99">
        <f t="shared" si="3"/>
        <v>0.36415409465459203</v>
      </c>
      <c r="AZ5" s="99">
        <f t="shared" si="3"/>
        <v>0.14410872452083864</v>
      </c>
      <c r="BA5" s="99">
        <f t="shared" si="3"/>
        <v>0.11647791962913566</v>
      </c>
      <c r="BB5" s="99">
        <f t="shared" si="3"/>
        <v>4.7187282844240765E-2</v>
      </c>
      <c r="BC5" s="99">
        <f>(AT5+AJ5+Z5)/3</f>
        <v>0.58667634463409823</v>
      </c>
      <c r="BD5" s="73"/>
    </row>
    <row r="6" spans="1:56" x14ac:dyDescent="0.25">
      <c r="G6" s="2" t="s">
        <v>292</v>
      </c>
      <c r="H6" s="2" t="s">
        <v>325</v>
      </c>
      <c r="I6" s="2" t="s">
        <v>326</v>
      </c>
      <c r="J6" s="2" t="s">
        <v>323</v>
      </c>
      <c r="K6" s="2" t="s">
        <v>339</v>
      </c>
      <c r="L6" s="2" t="s">
        <v>340</v>
      </c>
      <c r="M6" s="2" t="s">
        <v>341</v>
      </c>
      <c r="N6" s="103" t="s">
        <v>386</v>
      </c>
      <c r="O6" s="1">
        <f>D129</f>
        <v>3.9</v>
      </c>
      <c r="P6" s="1">
        <f>D130</f>
        <v>3.7</v>
      </c>
      <c r="R6" s="2" t="s">
        <v>292</v>
      </c>
      <c r="S6" s="4">
        <f>D133</f>
        <v>72.982500000000002</v>
      </c>
      <c r="T6" s="4">
        <f>D134</f>
        <v>0</v>
      </c>
      <c r="U6" s="4">
        <f>D135</f>
        <v>100</v>
      </c>
      <c r="V6" s="4">
        <f>D136</f>
        <v>0</v>
      </c>
      <c r="W6" s="4">
        <f>D137</f>
        <v>0</v>
      </c>
      <c r="X6" s="4">
        <f>D138</f>
        <v>0</v>
      </c>
      <c r="Y6" s="4">
        <f>SUM(S6:X6)</f>
        <v>172.98250000000002</v>
      </c>
      <c r="Z6" s="4">
        <f>U6+1/2*T6+V6</f>
        <v>100</v>
      </c>
      <c r="AA6" s="75"/>
      <c r="AB6" s="2" t="s">
        <v>292</v>
      </c>
      <c r="AC6" s="4">
        <f>D141</f>
        <v>93.660875000000004</v>
      </c>
      <c r="AD6" s="4">
        <f>D142</f>
        <v>69.375</v>
      </c>
      <c r="AE6" s="4">
        <f>D143</f>
        <v>169.375</v>
      </c>
      <c r="AF6" s="4">
        <f>D144</f>
        <v>0</v>
      </c>
      <c r="AG6" s="4">
        <f>D145</f>
        <v>0</v>
      </c>
      <c r="AH6" s="4">
        <f>D146</f>
        <v>0</v>
      </c>
      <c r="AI6" s="4">
        <f t="shared" ref="AI6" si="4">SUM(AC6:AH6)</f>
        <v>332.41087500000003</v>
      </c>
      <c r="AJ6" s="4">
        <f>AE6+1/2*AD6+AF6</f>
        <v>204.0625</v>
      </c>
      <c r="AK6" s="6"/>
      <c r="AL6" s="2" t="s">
        <v>292</v>
      </c>
      <c r="AM6" s="4">
        <f>D149</f>
        <v>729.26316690011606</v>
      </c>
      <c r="AN6" s="4">
        <f>D150</f>
        <v>338.00729277801514</v>
      </c>
      <c r="AO6" s="4">
        <f>D151</f>
        <v>1229.8740380859376</v>
      </c>
      <c r="AP6" s="4">
        <f>D152</f>
        <v>397.126708984375</v>
      </c>
      <c r="AQ6" s="4">
        <f>D153</f>
        <v>222.59375</v>
      </c>
      <c r="AR6" s="4">
        <f>D154</f>
        <v>0</v>
      </c>
      <c r="AS6" s="4">
        <f t="shared" ref="AS6" si="5">SUM(AM6:AR6)</f>
        <v>2916.8649567484435</v>
      </c>
      <c r="AT6" s="4">
        <f>AO6+1/2*AN6+AP6</f>
        <v>1796.0043934593202</v>
      </c>
      <c r="AV6" s="2" t="s">
        <v>292</v>
      </c>
      <c r="AW6" s="6">
        <f>99/1600</f>
        <v>6.1874999999999999E-2</v>
      </c>
      <c r="AX6" s="6">
        <f>75/1600</f>
        <v>4.6875E-2</v>
      </c>
      <c r="AY6" s="6">
        <f>375/1600</f>
        <v>0.234375</v>
      </c>
      <c r="AZ6" s="6">
        <f>325/1600</f>
        <v>0.203125</v>
      </c>
      <c r="BA6" s="6">
        <f>325/1600</f>
        <v>0.203125</v>
      </c>
      <c r="BB6" s="6">
        <f>400/1600</f>
        <v>0.25</v>
      </c>
      <c r="BC6" s="6"/>
      <c r="BD6" s="2" t="s">
        <v>374</v>
      </c>
    </row>
    <row r="7" spans="1:56" x14ac:dyDescent="0.25">
      <c r="M7" s="1">
        <v>1600</v>
      </c>
      <c r="N7" s="88">
        <f>(363+137)/2</f>
        <v>250</v>
      </c>
      <c r="S7" s="6">
        <f t="shared" ref="S7:X7" si="6">S6/$Y6</f>
        <v>0.42190684028731229</v>
      </c>
      <c r="T7" s="6">
        <f t="shared" si="6"/>
        <v>0</v>
      </c>
      <c r="U7" s="6">
        <f t="shared" si="6"/>
        <v>0.5780931597126876</v>
      </c>
      <c r="V7" s="6">
        <f t="shared" si="6"/>
        <v>0</v>
      </c>
      <c r="W7" s="6">
        <f t="shared" si="6"/>
        <v>0</v>
      </c>
      <c r="X7" s="6">
        <f t="shared" si="6"/>
        <v>0</v>
      </c>
      <c r="Y7" s="6"/>
      <c r="Z7" s="6">
        <f>Z6/$Y6</f>
        <v>0.5780931597126876</v>
      </c>
      <c r="AA7" s="75"/>
      <c r="AC7" s="6">
        <f t="shared" ref="AC7:AH7" si="7">AC6/$AI6</f>
        <v>0.28176236713073843</v>
      </c>
      <c r="AD7" s="6">
        <f t="shared" si="7"/>
        <v>0.20870255824211525</v>
      </c>
      <c r="AE7" s="6">
        <f t="shared" si="7"/>
        <v>0.5095350746271462</v>
      </c>
      <c r="AF7" s="6">
        <f t="shared" si="7"/>
        <v>0</v>
      </c>
      <c r="AG7" s="6">
        <f t="shared" si="7"/>
        <v>0</v>
      </c>
      <c r="AH7" s="6">
        <f t="shared" si="7"/>
        <v>0</v>
      </c>
      <c r="AI7" s="6"/>
      <c r="AJ7" s="6">
        <f>AJ6/$AI6</f>
        <v>0.61388635374820388</v>
      </c>
      <c r="AK7" s="6"/>
      <c r="AM7" s="6">
        <f t="shared" ref="AM7:AR7" si="8">AM6/$AS6</f>
        <v>0.25001608840782863</v>
      </c>
      <c r="AN7" s="6">
        <f t="shared" si="8"/>
        <v>0.11588033652226622</v>
      </c>
      <c r="AO7" s="6">
        <f t="shared" si="8"/>
        <v>0.42164243333943435</v>
      </c>
      <c r="AP7" s="6">
        <f t="shared" si="8"/>
        <v>0.13614847271745809</v>
      </c>
      <c r="AQ7" s="6">
        <f t="shared" si="8"/>
        <v>7.631266901301284E-2</v>
      </c>
      <c r="AR7" s="6">
        <f t="shared" si="8"/>
        <v>0</v>
      </c>
      <c r="AS7" s="6"/>
      <c r="AT7" s="6">
        <f>AT6/$AS6</f>
        <v>0.61573107431802554</v>
      </c>
      <c r="AW7" s="99">
        <f t="shared" ref="AW7:BB7" si="9">(S7+AC7+AM7)/3</f>
        <v>0.31789509860862647</v>
      </c>
      <c r="AX7" s="99">
        <f t="shared" si="9"/>
        <v>0.10819429825479382</v>
      </c>
      <c r="AY7" s="99">
        <f t="shared" si="9"/>
        <v>0.50309022255975611</v>
      </c>
      <c r="AZ7" s="99">
        <f t="shared" si="9"/>
        <v>4.5382824239152693E-2</v>
      </c>
      <c r="BA7" s="99">
        <f t="shared" si="9"/>
        <v>2.5437556337670947E-2</v>
      </c>
      <c r="BB7" s="99">
        <f t="shared" si="9"/>
        <v>0</v>
      </c>
      <c r="BC7" s="99">
        <f>(AT7+AJ7+Z7)/3</f>
        <v>0.60257019592630556</v>
      </c>
    </row>
    <row r="8" spans="1:56" x14ac:dyDescent="0.25">
      <c r="G8" s="2" t="s">
        <v>23</v>
      </c>
      <c r="H8" s="2" t="s">
        <v>324</v>
      </c>
      <c r="I8" s="2" t="s">
        <v>327</v>
      </c>
      <c r="J8" s="2" t="s">
        <v>328</v>
      </c>
      <c r="K8" s="2" t="s">
        <v>351</v>
      </c>
      <c r="L8" s="2" t="s">
        <v>352</v>
      </c>
      <c r="M8" s="2" t="s">
        <v>353</v>
      </c>
      <c r="N8" s="103" t="s">
        <v>387</v>
      </c>
      <c r="O8" s="1">
        <f>D189</f>
        <v>4.4000000000000004</v>
      </c>
      <c r="P8" s="1">
        <f>D190</f>
        <v>4.0999999999999996</v>
      </c>
      <c r="R8" s="2" t="s">
        <v>23</v>
      </c>
      <c r="S8" s="4">
        <f>D193</f>
        <v>94.708633333333324</v>
      </c>
      <c r="T8" s="4">
        <f>D194</f>
        <v>82.820000000000007</v>
      </c>
      <c r="U8" s="4">
        <f>D195</f>
        <v>211.5</v>
      </c>
      <c r="V8" s="4">
        <f>D196</f>
        <v>0</v>
      </c>
      <c r="W8" s="4">
        <f>D197</f>
        <v>0</v>
      </c>
      <c r="X8" s="4">
        <f>D198</f>
        <v>0</v>
      </c>
      <c r="Y8" s="4">
        <f>SUM(S8:X8)</f>
        <v>389.02863333333335</v>
      </c>
      <c r="Z8" s="4">
        <f>U8+T8/2+V8</f>
        <v>252.91</v>
      </c>
      <c r="AA8" s="75"/>
      <c r="AB8" s="2" t="s">
        <v>23</v>
      </c>
      <c r="AC8" s="4">
        <f>D201</f>
        <v>243.06139333333326</v>
      </c>
      <c r="AD8" s="4">
        <f>D202</f>
        <v>66.969172222222184</v>
      </c>
      <c r="AE8" s="4">
        <f>D203</f>
        <v>395.64999999999992</v>
      </c>
      <c r="AF8" s="4">
        <f>D204</f>
        <v>211.5</v>
      </c>
      <c r="AG8" s="4">
        <f>D205</f>
        <v>0</v>
      </c>
      <c r="AH8" s="4">
        <f>D206</f>
        <v>0</v>
      </c>
      <c r="AI8" s="4">
        <f>SUM(AC8:AH8)</f>
        <v>917.1805655555554</v>
      </c>
      <c r="AJ8" s="4">
        <f>AE8+AD8/2+AF8</f>
        <v>640.63458611111105</v>
      </c>
      <c r="AK8" s="6"/>
      <c r="AL8" s="2" t="s">
        <v>23</v>
      </c>
      <c r="AM8" s="4">
        <f>D209</f>
        <v>1583.768114260678</v>
      </c>
      <c r="AN8" s="4">
        <f>D210</f>
        <v>436.36563647330138</v>
      </c>
      <c r="AO8" s="4">
        <f>D211</f>
        <v>2711.5992865461558</v>
      </c>
      <c r="AP8" s="4">
        <f>D212</f>
        <v>1146.8015725871046</v>
      </c>
      <c r="AQ8" s="4">
        <f>D213</f>
        <v>735.44500051131638</v>
      </c>
      <c r="AR8" s="4">
        <f>D214</f>
        <v>305.54976666666647</v>
      </c>
      <c r="AS8" s="4">
        <f>SUM(AM8:AR8)</f>
        <v>6919.5293770452226</v>
      </c>
      <c r="AT8" s="4">
        <f>AO8+AN8/2+AP8</f>
        <v>4076.5836773699111</v>
      </c>
      <c r="AV8" s="2" t="s">
        <v>23</v>
      </c>
      <c r="AW8" s="6">
        <f>49/750</f>
        <v>6.5333333333333327E-2</v>
      </c>
      <c r="AX8" s="6">
        <f>40/750</f>
        <v>5.3333333333333337E-2</v>
      </c>
      <c r="AY8" s="6">
        <f>210/750</f>
        <v>0.28000000000000003</v>
      </c>
      <c r="AZ8" s="6">
        <f>150/750</f>
        <v>0.2</v>
      </c>
      <c r="BA8" s="6">
        <f>150/750</f>
        <v>0.2</v>
      </c>
      <c r="BB8" s="6">
        <f>150/750</f>
        <v>0.2</v>
      </c>
      <c r="BC8" s="6"/>
      <c r="BD8" s="2" t="s">
        <v>374</v>
      </c>
    </row>
    <row r="9" spans="1:56" x14ac:dyDescent="0.25">
      <c r="M9" s="1">
        <v>750</v>
      </c>
      <c r="N9" s="88">
        <f>(196+70)/2</f>
        <v>133</v>
      </c>
      <c r="S9" s="6">
        <f t="shared" ref="S9:X9" si="10">S8/$Y8</f>
        <v>0.24344900405360048</v>
      </c>
      <c r="T9" s="6">
        <f t="shared" si="10"/>
        <v>0.21288921406727646</v>
      </c>
      <c r="U9" s="6">
        <f t="shared" si="10"/>
        <v>0.54366178187912306</v>
      </c>
      <c r="V9" s="6">
        <f t="shared" si="10"/>
        <v>0</v>
      </c>
      <c r="W9" s="6">
        <f t="shared" si="10"/>
        <v>0</v>
      </c>
      <c r="X9" s="6">
        <f t="shared" si="10"/>
        <v>0</v>
      </c>
      <c r="Y9" s="6"/>
      <c r="Z9" s="6">
        <f>Z8/$Y8</f>
        <v>0.65010638891276118</v>
      </c>
      <c r="AC9" s="6">
        <f t="shared" ref="AC9:AH9" si="11">AC8/$AI8</f>
        <v>0.26500931491729318</v>
      </c>
      <c r="AD9" s="6">
        <f t="shared" si="11"/>
        <v>7.301634458603859E-2</v>
      </c>
      <c r="AE9" s="6">
        <f t="shared" si="11"/>
        <v>0.43137634491889443</v>
      </c>
      <c r="AF9" s="6">
        <f t="shared" si="11"/>
        <v>0.23059799557777375</v>
      </c>
      <c r="AG9" s="6">
        <f t="shared" si="11"/>
        <v>0</v>
      </c>
      <c r="AH9" s="6">
        <f t="shared" si="11"/>
        <v>0</v>
      </c>
      <c r="AI9" s="6"/>
      <c r="AJ9" s="6">
        <f>AJ8/$AI8</f>
        <v>0.69848251278968754</v>
      </c>
      <c r="AM9" s="6">
        <f t="shared" ref="AM9:AR9" si="12">AM8/$AS8</f>
        <v>0.22888379078419038</v>
      </c>
      <c r="AN9" s="6">
        <f t="shared" si="12"/>
        <v>6.3062906838851837E-2</v>
      </c>
      <c r="AO9" s="6">
        <f t="shared" si="12"/>
        <v>0.39187625903310536</v>
      </c>
      <c r="AP9" s="6">
        <f t="shared" si="12"/>
        <v>0.16573404202769809</v>
      </c>
      <c r="AQ9" s="6">
        <f t="shared" si="12"/>
        <v>0.10628540763929326</v>
      </c>
      <c r="AR9" s="6">
        <f t="shared" si="12"/>
        <v>4.4157593676861062E-2</v>
      </c>
      <c r="AS9" s="6"/>
      <c r="AT9" s="6">
        <f>AT8/$AS8</f>
        <v>0.58914175448022943</v>
      </c>
      <c r="AW9" s="99">
        <f t="shared" ref="AW9:BB9" si="13">(S9+AC9+AM9)/3</f>
        <v>0.24578070325169468</v>
      </c>
      <c r="AX9" s="99">
        <f t="shared" si="13"/>
        <v>0.11632282183072229</v>
      </c>
      <c r="AY9" s="99">
        <f t="shared" si="13"/>
        <v>0.45563812861037428</v>
      </c>
      <c r="AZ9" s="99">
        <f t="shared" si="13"/>
        <v>0.13211067920182396</v>
      </c>
      <c r="BA9" s="99">
        <f t="shared" si="13"/>
        <v>3.5428469213097752E-2</v>
      </c>
      <c r="BB9" s="99">
        <f t="shared" si="13"/>
        <v>1.471919789228702E-2</v>
      </c>
      <c r="BC9" s="99">
        <f>(AT9+AJ9+Z9)/3</f>
        <v>0.64591021872755938</v>
      </c>
    </row>
    <row r="10" spans="1:56" x14ac:dyDescent="0.25">
      <c r="G10" s="2" t="s">
        <v>24</v>
      </c>
      <c r="H10" s="74" t="s">
        <v>293</v>
      </c>
      <c r="I10" s="2" t="s">
        <v>294</v>
      </c>
      <c r="J10" s="2" t="s">
        <v>295</v>
      </c>
      <c r="K10" s="2" t="s">
        <v>354</v>
      </c>
      <c r="L10" s="2" t="s">
        <v>355</v>
      </c>
      <c r="M10" s="2" t="s">
        <v>356</v>
      </c>
      <c r="N10" s="103" t="s">
        <v>388</v>
      </c>
      <c r="O10" s="1">
        <f>D243</f>
        <v>3.2</v>
      </c>
      <c r="P10" s="1">
        <f>D244</f>
        <v>2.5</v>
      </c>
      <c r="R10" s="2" t="s">
        <v>24</v>
      </c>
      <c r="S10" s="4">
        <f>D247</f>
        <v>295.33386230468761</v>
      </c>
      <c r="T10" s="4">
        <f>D248</f>
        <v>132.24283854166669</v>
      </c>
      <c r="U10" s="4">
        <f>D249</f>
        <v>154.62239583333334</v>
      </c>
      <c r="V10" s="4">
        <f>D250</f>
        <v>159.50520833333337</v>
      </c>
      <c r="W10" s="4">
        <f>D251</f>
        <v>153.28776041666669</v>
      </c>
      <c r="X10" s="4">
        <f>D252</f>
        <v>122.5</v>
      </c>
      <c r="Y10" s="4">
        <f>SUM(S10:X10)</f>
        <v>1017.4920654296877</v>
      </c>
      <c r="Z10" s="4">
        <f>U10+6/12*T10+V10</f>
        <v>380.24902343750006</v>
      </c>
      <c r="AA10" s="75"/>
      <c r="AB10" s="2" t="s">
        <v>24</v>
      </c>
      <c r="AC10" s="4">
        <f>D255</f>
        <v>735.74483394622825</v>
      </c>
      <c r="AD10" s="4">
        <f>D256</f>
        <v>290.57264328002924</v>
      </c>
      <c r="AE10" s="4">
        <f>D257</f>
        <v>608.46408208211278</v>
      </c>
      <c r="AF10" s="4">
        <f>D258</f>
        <v>509.12300745646166</v>
      </c>
      <c r="AG10" s="4">
        <f>D259</f>
        <v>543.79304250081373</v>
      </c>
      <c r="AH10" s="4">
        <f>D260</f>
        <v>221.25244140625</v>
      </c>
      <c r="AI10" s="4">
        <f t="shared" ref="AI10" si="14">SUM(AC10:AH10)</f>
        <v>2908.950050671896</v>
      </c>
      <c r="AJ10" s="4">
        <f>AE10+6/12*AD10+AF10</f>
        <v>1262.8734111785891</v>
      </c>
      <c r="AK10" s="6"/>
      <c r="AL10" s="2" t="s">
        <v>24</v>
      </c>
      <c r="AM10" s="4">
        <f>D263</f>
        <v>67804.172525556409</v>
      </c>
      <c r="AN10" s="4">
        <f>D264</f>
        <v>28003.510320805635</v>
      </c>
      <c r="AO10" s="4">
        <f>D265</f>
        <v>45774.968793624583</v>
      </c>
      <c r="AP10" s="4">
        <f>D266</f>
        <v>40928.207391946686</v>
      </c>
      <c r="AQ10" s="4">
        <f>D267</f>
        <v>42479.171040483612</v>
      </c>
      <c r="AR10" s="4">
        <f>D268</f>
        <v>37223.12756488625</v>
      </c>
      <c r="AS10" s="4">
        <f t="shared" ref="AS10" si="15">SUM(AM10:AR10)</f>
        <v>262213.15763730317</v>
      </c>
      <c r="AT10" s="4">
        <f>AO10+6/12*AN10+AP10</f>
        <v>100704.9313459741</v>
      </c>
      <c r="AV10" s="2" t="s">
        <v>24</v>
      </c>
      <c r="AW10" s="6">
        <f>21/199</f>
        <v>0.10552763819095477</v>
      </c>
      <c r="AX10" s="6">
        <f>12/199</f>
        <v>6.030150753768844E-2</v>
      </c>
      <c r="AY10" s="6">
        <f>35/199</f>
        <v>0.17587939698492464</v>
      </c>
      <c r="AZ10" s="6">
        <f>33/199</f>
        <v>0.16582914572864321</v>
      </c>
      <c r="BA10" s="6">
        <f>44/199</f>
        <v>0.22110552763819097</v>
      </c>
      <c r="BB10" s="6">
        <f>54/199</f>
        <v>0.271356783919598</v>
      </c>
      <c r="BC10" s="6"/>
      <c r="BD10" s="2" t="s">
        <v>374</v>
      </c>
    </row>
    <row r="11" spans="1:56" x14ac:dyDescent="0.25">
      <c r="M11" s="1">
        <v>199</v>
      </c>
      <c r="N11" s="88">
        <f>(27+51)/2</f>
        <v>39</v>
      </c>
      <c r="S11" s="6">
        <f t="shared" ref="S11:X11" si="16">S10/$Y10</f>
        <v>0.29025667357903956</v>
      </c>
      <c r="T11" s="6">
        <f t="shared" si="16"/>
        <v>0.12996940520201544</v>
      </c>
      <c r="U11" s="6">
        <f t="shared" si="16"/>
        <v>0.15196422762081804</v>
      </c>
      <c r="V11" s="6">
        <f t="shared" si="16"/>
        <v>0.15676309796673862</v>
      </c>
      <c r="W11" s="6">
        <f t="shared" si="16"/>
        <v>0.15065253639293308</v>
      </c>
      <c r="X11" s="6">
        <f t="shared" si="16"/>
        <v>0.12039405923845524</v>
      </c>
      <c r="Y11" s="6"/>
      <c r="Z11" s="6">
        <f>Z10/$Y10</f>
        <v>0.37371202818856436</v>
      </c>
      <c r="AA11" s="75"/>
      <c r="AC11" s="6">
        <f t="shared" ref="AC11:AH11" si="17">AC10/$AI10</f>
        <v>0.25292453329554054</v>
      </c>
      <c r="AD11" s="6">
        <f t="shared" si="17"/>
        <v>9.9889182769884316E-2</v>
      </c>
      <c r="AE11" s="6">
        <f t="shared" si="17"/>
        <v>0.20916965622753561</v>
      </c>
      <c r="AF11" s="6">
        <f t="shared" si="17"/>
        <v>0.17501950827201959</v>
      </c>
      <c r="AG11" s="6">
        <f t="shared" si="17"/>
        <v>0.18693790990849463</v>
      </c>
      <c r="AH11" s="6">
        <f t="shared" si="17"/>
        <v>7.6059209526525257E-2</v>
      </c>
      <c r="AI11" s="6"/>
      <c r="AJ11" s="6">
        <f>AJ10/$AI10</f>
        <v>0.43413375588449737</v>
      </c>
      <c r="AK11" s="6"/>
      <c r="AM11" s="6">
        <f t="shared" ref="AM11:AR11" si="18">AM10/$AS10</f>
        <v>0.25858417303125603</v>
      </c>
      <c r="AN11" s="6">
        <f t="shared" si="18"/>
        <v>0.10679673961876648</v>
      </c>
      <c r="AO11" s="6">
        <f t="shared" si="18"/>
        <v>0.174571593607599</v>
      </c>
      <c r="AP11" s="6">
        <f t="shared" si="18"/>
        <v>0.15608754251973558</v>
      </c>
      <c r="AQ11" s="6">
        <f t="shared" si="18"/>
        <v>0.16200243886785187</v>
      </c>
      <c r="AR11" s="6">
        <f t="shared" si="18"/>
        <v>0.14195751235479109</v>
      </c>
      <c r="AS11" s="6"/>
      <c r="AT11" s="6">
        <f>AT10/$AS10</f>
        <v>0.38405750593671784</v>
      </c>
      <c r="AW11" s="99">
        <f t="shared" ref="AW11:BB11" si="19">(S11+AC11+AM11)/3</f>
        <v>0.26725512663527867</v>
      </c>
      <c r="AX11" s="99">
        <f t="shared" si="19"/>
        <v>0.11221844253022208</v>
      </c>
      <c r="AY11" s="99">
        <f t="shared" si="19"/>
        <v>0.17856849248531756</v>
      </c>
      <c r="AZ11" s="99">
        <f t="shared" si="19"/>
        <v>0.16262338291949793</v>
      </c>
      <c r="BA11" s="99">
        <f t="shared" si="19"/>
        <v>0.1665309617230932</v>
      </c>
      <c r="BB11" s="99">
        <f t="shared" si="19"/>
        <v>0.11280359370659053</v>
      </c>
      <c r="BC11" s="99">
        <f>(AT11+AJ11+Z11)/3</f>
        <v>0.39730109666992658</v>
      </c>
      <c r="BD11" s="2"/>
    </row>
    <row r="12" spans="1:56" x14ac:dyDescent="0.25">
      <c r="G12" s="2" t="s">
        <v>15</v>
      </c>
      <c r="H12" s="2" t="s">
        <v>296</v>
      </c>
      <c r="I12" s="2" t="s">
        <v>297</v>
      </c>
      <c r="J12" s="2" t="s">
        <v>298</v>
      </c>
      <c r="K12" s="2" t="s">
        <v>332</v>
      </c>
      <c r="L12" s="2" t="s">
        <v>333</v>
      </c>
      <c r="M12" s="2" t="s">
        <v>334</v>
      </c>
      <c r="N12" s="103" t="s">
        <v>389</v>
      </c>
      <c r="O12" s="1">
        <f>D30</f>
        <v>5</v>
      </c>
      <c r="P12" s="1">
        <f>D31</f>
        <v>2.5</v>
      </c>
      <c r="R12" s="2" t="s">
        <v>15</v>
      </c>
      <c r="S12" s="4">
        <f>D34</f>
        <v>498.36105770534931</v>
      </c>
      <c r="T12" s="4">
        <f>D35</f>
        <v>361.62800259060333</v>
      </c>
      <c r="U12" s="4">
        <f>D36</f>
        <v>452.00188954671228</v>
      </c>
      <c r="V12" s="4">
        <f>D37</f>
        <v>300.40740966796875</v>
      </c>
      <c r="W12" s="4">
        <f>D38</f>
        <v>286.10229492187506</v>
      </c>
      <c r="X12" s="4">
        <f>D39</f>
        <v>163.77766927083331</v>
      </c>
      <c r="Y12" s="4">
        <f>SUM(S12:X12)</f>
        <v>2062.2783237033423</v>
      </c>
      <c r="Z12" s="4">
        <f>U12+T12*4/7+V12</f>
        <v>959.05387212359722</v>
      </c>
      <c r="AA12" s="75"/>
      <c r="AB12" s="2" t="s">
        <v>15</v>
      </c>
      <c r="AC12" s="4">
        <f>D42</f>
        <v>2970.4633814415297</v>
      </c>
      <c r="AD12" s="4">
        <f>D43</f>
        <v>1844.2531452617718</v>
      </c>
      <c r="AE12" s="4">
        <f>D44</f>
        <v>2329.001189435884</v>
      </c>
      <c r="AF12" s="4">
        <f>D45</f>
        <v>2017.9413695586848</v>
      </c>
      <c r="AG12" s="4">
        <f>D46</f>
        <v>1989.5196601282807</v>
      </c>
      <c r="AH12" s="4">
        <f>D47</f>
        <v>757.91225147744035</v>
      </c>
      <c r="AI12" s="4">
        <f t="shared" ref="AI12" si="20">SUM(AC12:AH12)</f>
        <v>11909.090997303592</v>
      </c>
      <c r="AJ12" s="4">
        <f>AE12+AD12*4/7+AF12</f>
        <v>5400.8014991441523</v>
      </c>
      <c r="AK12" s="6"/>
      <c r="AL12" s="2" t="s">
        <v>15</v>
      </c>
      <c r="AM12" s="4">
        <f>D50</f>
        <v>8501210.6835705601</v>
      </c>
      <c r="AN12" s="4">
        <f>D51</f>
        <v>2273217.5087935929</v>
      </c>
      <c r="AO12" s="4">
        <f>D52</f>
        <v>4172755.4271005681</v>
      </c>
      <c r="AP12" s="4">
        <f>D53</f>
        <v>3901214.9246802926</v>
      </c>
      <c r="AQ12" s="4">
        <f>D54</f>
        <v>2600809.9497868614</v>
      </c>
      <c r="AR12" s="4">
        <f>D55</f>
        <v>2152394.4412029204</v>
      </c>
      <c r="AS12" s="4">
        <f t="shared" ref="AS12" si="21">SUM(AM12:AR12)</f>
        <v>23601602.935134795</v>
      </c>
      <c r="AT12" s="4">
        <f>AO12+AN12*4/7+AP12</f>
        <v>9372951.7853772007</v>
      </c>
      <c r="AV12" s="2" t="s">
        <v>15</v>
      </c>
      <c r="AW12" s="6">
        <f>13/120</f>
        <v>0.10833333333333334</v>
      </c>
      <c r="AX12" s="6">
        <f>7/120</f>
        <v>5.8333333333333334E-2</v>
      </c>
      <c r="AY12" s="6">
        <f>20/120</f>
        <v>0.16666666666666666</v>
      </c>
      <c r="AZ12" s="6">
        <f>20/120</f>
        <v>0.16666666666666666</v>
      </c>
      <c r="BA12" s="6">
        <f>30/120</f>
        <v>0.25</v>
      </c>
      <c r="BB12" s="6">
        <f>30/120</f>
        <v>0.25</v>
      </c>
      <c r="BC12" s="6"/>
      <c r="BD12" s="2" t="s">
        <v>374</v>
      </c>
    </row>
    <row r="13" spans="1:56" x14ac:dyDescent="0.25">
      <c r="A13" s="1" t="s">
        <v>299</v>
      </c>
      <c r="M13" s="1">
        <v>120</v>
      </c>
      <c r="N13" s="88">
        <f>(17+31)/2</f>
        <v>24</v>
      </c>
      <c r="S13" s="6">
        <f t="shared" ref="S13:X13" si="22">S12/$Y12</f>
        <v>0.24165557673632335</v>
      </c>
      <c r="T13" s="6">
        <f t="shared" si="22"/>
        <v>0.17535363604133161</v>
      </c>
      <c r="U13" s="6">
        <f t="shared" si="22"/>
        <v>0.21917598820271192</v>
      </c>
      <c r="V13" s="6">
        <f t="shared" si="22"/>
        <v>0.14566773369780237</v>
      </c>
      <c r="W13" s="6">
        <f t="shared" si="22"/>
        <v>0.138731174950288</v>
      </c>
      <c r="X13" s="6">
        <f t="shared" si="22"/>
        <v>7.9415890371542619E-2</v>
      </c>
      <c r="Y13" s="6"/>
      <c r="Z13" s="6">
        <f>Z12/$Y12</f>
        <v>0.46504579963841808</v>
      </c>
      <c r="AA13" s="75"/>
      <c r="AC13" s="6">
        <f t="shared" ref="AC13:AH13" si="23">AC12/$AI12</f>
        <v>0.24942822102157838</v>
      </c>
      <c r="AD13" s="6">
        <f t="shared" si="23"/>
        <v>0.15486094998176939</v>
      </c>
      <c r="AE13" s="6">
        <f t="shared" si="23"/>
        <v>0.19556498392389537</v>
      </c>
      <c r="AF13" s="6">
        <f t="shared" si="23"/>
        <v>0.16944545725744969</v>
      </c>
      <c r="AG13" s="6">
        <f t="shared" si="23"/>
        <v>0.16705890152142927</v>
      </c>
      <c r="AH13" s="6">
        <f t="shared" si="23"/>
        <v>6.3641486293877822E-2</v>
      </c>
      <c r="AI13" s="6"/>
      <c r="AJ13" s="6">
        <f>AJ12/$AI12</f>
        <v>0.45350241259949897</v>
      </c>
      <c r="AK13" s="6"/>
      <c r="AM13" s="6">
        <f t="shared" ref="AM13:AR13" si="24">AM12/$AS12</f>
        <v>0.36019632678910701</v>
      </c>
      <c r="AN13" s="6">
        <f t="shared" si="24"/>
        <v>9.6316233903314327E-2</v>
      </c>
      <c r="AO13" s="6">
        <f t="shared" si="24"/>
        <v>0.17679966223348112</v>
      </c>
      <c r="AP13" s="6">
        <f t="shared" si="24"/>
        <v>0.16529449018366058</v>
      </c>
      <c r="AQ13" s="6">
        <f t="shared" si="24"/>
        <v>0.11019632678910703</v>
      </c>
      <c r="AR13" s="6">
        <f t="shared" si="24"/>
        <v>9.119696010132998E-2</v>
      </c>
      <c r="AS13" s="6"/>
      <c r="AT13" s="6">
        <f>AT12/$AS12</f>
        <v>0.39713200036189278</v>
      </c>
      <c r="AW13" s="99">
        <f t="shared" ref="AW13:BB13" si="25">(S13+AC13+AM13)/3</f>
        <v>0.28376004151566958</v>
      </c>
      <c r="AX13" s="99">
        <f t="shared" si="25"/>
        <v>0.14217693997547179</v>
      </c>
      <c r="AY13" s="99">
        <f t="shared" si="25"/>
        <v>0.19718021145336281</v>
      </c>
      <c r="AZ13" s="99">
        <f t="shared" si="25"/>
        <v>0.16013589371297088</v>
      </c>
      <c r="BA13" s="99">
        <f t="shared" si="25"/>
        <v>0.13866213442027478</v>
      </c>
      <c r="BB13" s="99">
        <f t="shared" si="25"/>
        <v>7.8084778922250145E-2</v>
      </c>
      <c r="BC13" s="99">
        <f>(AT13+AJ13+Z13)/3</f>
        <v>0.43856007086660326</v>
      </c>
    </row>
    <row r="14" spans="1:56" x14ac:dyDescent="0.25">
      <c r="G14" s="2" t="s">
        <v>27</v>
      </c>
      <c r="H14" s="2" t="s">
        <v>359</v>
      </c>
      <c r="I14" s="2" t="s">
        <v>360</v>
      </c>
      <c r="J14" s="2" t="s">
        <v>361</v>
      </c>
      <c r="K14" s="2" t="s">
        <v>362</v>
      </c>
      <c r="L14" s="2" t="s">
        <v>363</v>
      </c>
      <c r="M14" s="2" t="s">
        <v>364</v>
      </c>
      <c r="N14" s="103" t="s">
        <v>300</v>
      </c>
      <c r="O14" s="1">
        <f>D287</f>
        <v>8.5</v>
      </c>
      <c r="P14" s="1">
        <f>D288</f>
        <v>3.5</v>
      </c>
      <c r="R14" s="2" t="s">
        <v>27</v>
      </c>
      <c r="S14" s="4">
        <f>D291</f>
        <v>3092.273807363641</v>
      </c>
      <c r="T14" s="4">
        <f>D292</f>
        <v>2079.7750121525746</v>
      </c>
      <c r="U14" s="4">
        <f>D293</f>
        <v>757.29154466048362</v>
      </c>
      <c r="V14" s="4">
        <f>D294</f>
        <v>719.42696742745943</v>
      </c>
      <c r="W14" s="4">
        <f>D295</f>
        <v>1168.3926689047462</v>
      </c>
      <c r="X14" s="4">
        <f>D296</f>
        <v>953.78993379979272</v>
      </c>
      <c r="Y14" s="4">
        <f>SUM(S14:X14)</f>
        <v>8770.9499343086991</v>
      </c>
      <c r="Z14" s="4">
        <f>U14+2/3*T14+V14</f>
        <v>2863.2351868563255</v>
      </c>
      <c r="AA14" s="75"/>
      <c r="AB14" s="2" t="s">
        <v>27</v>
      </c>
      <c r="AC14" s="4">
        <f>D299</f>
        <v>36427.265903646585</v>
      </c>
      <c r="AD14" s="4">
        <f>D300</f>
        <v>12249.969133883438</v>
      </c>
      <c r="AE14" s="4">
        <f>D301</f>
        <v>10407.790258184739</v>
      </c>
      <c r="AF14" s="4">
        <f>D302</f>
        <v>11299.886566029145</v>
      </c>
      <c r="AG14" s="4">
        <f>D303</f>
        <v>12234.463650437572</v>
      </c>
      <c r="AH14" s="4">
        <f>D304</f>
        <v>12452.936215623957</v>
      </c>
      <c r="AI14" s="4">
        <f>SUM(AC14:AH14)</f>
        <v>95072.311727805427</v>
      </c>
      <c r="AJ14" s="4">
        <f>AE14+2/3*AD14+AF14</f>
        <v>29874.32291346951</v>
      </c>
      <c r="AK14" s="6"/>
      <c r="AL14" s="2" t="s">
        <v>27</v>
      </c>
      <c r="AM14" s="4">
        <f>D307</f>
        <v>500635.91212318663</v>
      </c>
      <c r="AN14" s="4">
        <f>D308</f>
        <v>168356.70530542592</v>
      </c>
      <c r="AO14" s="4">
        <f>D309</f>
        <v>224775.30748387973</v>
      </c>
      <c r="AP14" s="4">
        <f>D310</f>
        <v>221856.14764642675</v>
      </c>
      <c r="AQ14" s="4">
        <f>D311</f>
        <v>126107.70497796891</v>
      </c>
      <c r="AR14" s="4">
        <f>D312</f>
        <v>108092.31855254476</v>
      </c>
      <c r="AS14" s="4">
        <f>SUM(AM14:AR14)</f>
        <v>1349824.0960894327</v>
      </c>
      <c r="AT14" s="4">
        <f>AO14+AN14*4/7+AP14</f>
        <v>542835.28673340706</v>
      </c>
      <c r="AV14" s="2" t="s">
        <v>27</v>
      </c>
      <c r="AW14" s="6">
        <f>7/55</f>
        <v>0.12727272727272726</v>
      </c>
      <c r="AX14" s="6">
        <f>3/55</f>
        <v>5.4545454545454543E-2</v>
      </c>
      <c r="AY14" s="6">
        <f>10/55</f>
        <v>0.18181818181818182</v>
      </c>
      <c r="AZ14" s="6">
        <f>10/55</f>
        <v>0.18181818181818182</v>
      </c>
      <c r="BA14" s="6">
        <f>10/55</f>
        <v>0.18181818181818182</v>
      </c>
      <c r="BB14" s="6">
        <f>15/55</f>
        <v>0.27272727272727271</v>
      </c>
      <c r="BC14" s="6"/>
      <c r="BD14" s="2" t="s">
        <v>374</v>
      </c>
    </row>
    <row r="15" spans="1:56" x14ac:dyDescent="0.25">
      <c r="M15" s="1">
        <v>55</v>
      </c>
      <c r="N15" s="88">
        <f>(9+15)/2</f>
        <v>12</v>
      </c>
      <c r="S15" s="6">
        <f t="shared" ref="S15:X15" si="26">S14/$Y14</f>
        <v>0.35255859747503682</v>
      </c>
      <c r="T15" s="6">
        <f t="shared" si="26"/>
        <v>0.23712083955892474</v>
      </c>
      <c r="U15" s="6">
        <f t="shared" si="26"/>
        <v>8.634088101429474E-2</v>
      </c>
      <c r="V15" s="6">
        <f t="shared" si="26"/>
        <v>8.2023836963579996E-2</v>
      </c>
      <c r="W15" s="6">
        <f t="shared" si="26"/>
        <v>0.13321164499348331</v>
      </c>
      <c r="X15" s="6">
        <f t="shared" si="26"/>
        <v>0.10874419999468024</v>
      </c>
      <c r="Y15" s="6"/>
      <c r="Z15" s="6">
        <f>Z14/$Y14</f>
        <v>0.32644527768382448</v>
      </c>
      <c r="AC15" s="6">
        <f t="shared" ref="AC15:AH15" si="27">AC14/$AI14</f>
        <v>0.38315325715376336</v>
      </c>
      <c r="AD15" s="6">
        <f t="shared" si="27"/>
        <v>0.12884896676285129</v>
      </c>
      <c r="AE15" s="6">
        <f t="shared" si="27"/>
        <v>0.10947235918678953</v>
      </c>
      <c r="AF15" s="6">
        <f t="shared" si="27"/>
        <v>0.11885570425994292</v>
      </c>
      <c r="AG15" s="6">
        <f t="shared" si="27"/>
        <v>0.12868587528896078</v>
      </c>
      <c r="AH15" s="6">
        <f t="shared" si="27"/>
        <v>0.1309838373476922</v>
      </c>
      <c r="AI15" s="6"/>
      <c r="AJ15" s="6">
        <f>AJ14/$AI14</f>
        <v>0.31422737462196665</v>
      </c>
      <c r="AL15" s="72" t="s">
        <v>391</v>
      </c>
      <c r="AM15" s="6">
        <f>AM14/$AS$14</f>
        <v>0.37088974302175809</v>
      </c>
      <c r="AN15" s="6">
        <f t="shared" ref="AN15:AR15" si="28">AN14/$AS$14</f>
        <v>0.12472492215331696</v>
      </c>
      <c r="AO15" s="6">
        <f t="shared" si="28"/>
        <v>0.16652192543834041</v>
      </c>
      <c r="AP15" s="6">
        <f t="shared" si="28"/>
        <v>0.16435930303005025</v>
      </c>
      <c r="AQ15" s="6">
        <f t="shared" si="28"/>
        <v>9.3425288038133852E-2</v>
      </c>
      <c r="AR15" s="6">
        <f t="shared" si="28"/>
        <v>8.0078818318400427E-2</v>
      </c>
      <c r="AS15" s="6"/>
      <c r="AT15" s="6">
        <f>AT14/$AS14</f>
        <v>0.40215261255600038</v>
      </c>
      <c r="AW15" s="99">
        <f>(S15+AC15+AM15)/3</f>
        <v>0.36886719921685279</v>
      </c>
      <c r="AX15" s="99">
        <f t="shared" ref="AX15:BB15" si="29">(T15+AD15+AN15)/3</f>
        <v>0.16356490949169766</v>
      </c>
      <c r="AY15" s="99">
        <f t="shared" si="29"/>
        <v>0.12077838854647489</v>
      </c>
      <c r="AZ15" s="99">
        <f t="shared" si="29"/>
        <v>0.12174628141785772</v>
      </c>
      <c r="BA15" s="99">
        <f t="shared" si="29"/>
        <v>0.11844093610685931</v>
      </c>
      <c r="BB15" s="99">
        <f t="shared" si="29"/>
        <v>0.10660228522025762</v>
      </c>
      <c r="BC15" s="99">
        <f>(AT15+AJ15+Z15)/3</f>
        <v>0.34760842162059719</v>
      </c>
    </row>
    <row r="16" spans="1:56" x14ac:dyDescent="0.25">
      <c r="AV16" s="6"/>
      <c r="AW16" s="6"/>
      <c r="AX16" s="6"/>
      <c r="AY16" s="6"/>
      <c r="AZ16" s="6"/>
      <c r="BA16" s="6"/>
      <c r="BB16" s="6"/>
      <c r="BC16" s="2"/>
    </row>
    <row r="17" spans="1:111" x14ac:dyDescent="0.25"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6"/>
    </row>
    <row r="18" spans="1:111" x14ac:dyDescent="0.25"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6"/>
    </row>
    <row r="19" spans="1:111" x14ac:dyDescent="0.25"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6"/>
    </row>
    <row r="20" spans="1:111" x14ac:dyDescent="0.25"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6"/>
    </row>
    <row r="21" spans="1:111" x14ac:dyDescent="0.25"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6"/>
    </row>
    <row r="22" spans="1:111" x14ac:dyDescent="0.25"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6"/>
    </row>
    <row r="23" spans="1:111" x14ac:dyDescent="0.25">
      <c r="AI23" s="6"/>
      <c r="AV23" s="2"/>
      <c r="AW23" s="2"/>
      <c r="AX23" s="2"/>
      <c r="AY23" s="2"/>
      <c r="AZ23" s="2"/>
      <c r="BA23" s="2"/>
      <c r="BB23" s="2"/>
      <c r="BC23" s="2"/>
    </row>
    <row r="30" spans="1:111" ht="15.5" x14ac:dyDescent="0.35">
      <c r="A30" s="11" t="s">
        <v>111</v>
      </c>
      <c r="B30" s="1" t="s">
        <v>329</v>
      </c>
      <c r="D30" s="1">
        <v>5</v>
      </c>
      <c r="G30" s="76" t="s">
        <v>331</v>
      </c>
    </row>
    <row r="31" spans="1:111" ht="15.5" x14ac:dyDescent="0.35">
      <c r="B31" s="1" t="s">
        <v>330</v>
      </c>
      <c r="D31" s="1">
        <v>2.5</v>
      </c>
      <c r="E31" s="6">
        <f>D31/D30</f>
        <v>0.5</v>
      </c>
      <c r="F31" s="76" t="s">
        <v>301</v>
      </c>
      <c r="G31" s="85">
        <v>0</v>
      </c>
      <c r="H31" s="86">
        <f>G31+$N$13/2</f>
        <v>12</v>
      </c>
      <c r="I31" s="86">
        <f t="shared" ref="I31:BT31" si="30">H31+$N$13/2</f>
        <v>24</v>
      </c>
      <c r="J31" s="86">
        <f t="shared" si="30"/>
        <v>36</v>
      </c>
      <c r="K31" s="86">
        <f t="shared" si="30"/>
        <v>48</v>
      </c>
      <c r="L31" s="86">
        <f t="shared" si="30"/>
        <v>60</v>
      </c>
      <c r="M31" s="86">
        <f t="shared" si="30"/>
        <v>72</v>
      </c>
      <c r="N31" s="86">
        <f t="shared" si="30"/>
        <v>84</v>
      </c>
      <c r="O31" s="86">
        <f t="shared" si="30"/>
        <v>96</v>
      </c>
      <c r="P31" s="86">
        <f t="shared" si="30"/>
        <v>108</v>
      </c>
      <c r="Q31" s="86">
        <f t="shared" si="30"/>
        <v>120</v>
      </c>
      <c r="R31" s="86">
        <f t="shared" si="30"/>
        <v>132</v>
      </c>
      <c r="S31" s="86">
        <f t="shared" si="30"/>
        <v>144</v>
      </c>
      <c r="T31" s="86">
        <f t="shared" si="30"/>
        <v>156</v>
      </c>
      <c r="U31" s="86">
        <f t="shared" si="30"/>
        <v>168</v>
      </c>
      <c r="V31" s="86">
        <f t="shared" si="30"/>
        <v>180</v>
      </c>
      <c r="W31" s="86">
        <f t="shared" si="30"/>
        <v>192</v>
      </c>
      <c r="X31" s="86">
        <f t="shared" si="30"/>
        <v>204</v>
      </c>
      <c r="Y31" s="86">
        <f t="shared" si="30"/>
        <v>216</v>
      </c>
      <c r="Z31" s="86">
        <f t="shared" si="30"/>
        <v>228</v>
      </c>
      <c r="AA31" s="86">
        <f t="shared" si="30"/>
        <v>240</v>
      </c>
      <c r="AB31" s="86">
        <f t="shared" si="30"/>
        <v>252</v>
      </c>
      <c r="AC31" s="86">
        <f t="shared" si="30"/>
        <v>264</v>
      </c>
      <c r="AD31" s="86">
        <f t="shared" si="30"/>
        <v>276</v>
      </c>
      <c r="AE31" s="86">
        <f t="shared" si="30"/>
        <v>288</v>
      </c>
      <c r="AF31" s="86">
        <f t="shared" si="30"/>
        <v>300</v>
      </c>
      <c r="AG31" s="86">
        <f t="shared" si="30"/>
        <v>312</v>
      </c>
      <c r="AH31" s="86">
        <f t="shared" si="30"/>
        <v>324</v>
      </c>
      <c r="AI31" s="86">
        <f t="shared" si="30"/>
        <v>336</v>
      </c>
      <c r="AJ31" s="86">
        <f t="shared" si="30"/>
        <v>348</v>
      </c>
      <c r="AK31" s="86">
        <f t="shared" si="30"/>
        <v>360</v>
      </c>
      <c r="AL31" s="86">
        <f t="shared" si="30"/>
        <v>372</v>
      </c>
      <c r="AM31" s="86">
        <f t="shared" si="30"/>
        <v>384</v>
      </c>
      <c r="AN31" s="86">
        <f t="shared" si="30"/>
        <v>396</v>
      </c>
      <c r="AO31" s="86">
        <f t="shared" si="30"/>
        <v>408</v>
      </c>
      <c r="AP31" s="86">
        <f t="shared" si="30"/>
        <v>420</v>
      </c>
      <c r="AQ31" s="86">
        <f t="shared" si="30"/>
        <v>432</v>
      </c>
      <c r="AR31" s="86">
        <f t="shared" si="30"/>
        <v>444</v>
      </c>
      <c r="AS31" s="86">
        <f t="shared" si="30"/>
        <v>456</v>
      </c>
      <c r="AT31" s="86">
        <f t="shared" si="30"/>
        <v>468</v>
      </c>
      <c r="AU31" s="86">
        <f t="shared" si="30"/>
        <v>480</v>
      </c>
      <c r="AV31" s="86">
        <f t="shared" si="30"/>
        <v>492</v>
      </c>
      <c r="AW31" s="86">
        <f t="shared" si="30"/>
        <v>504</v>
      </c>
      <c r="AX31" s="86">
        <f t="shared" si="30"/>
        <v>516</v>
      </c>
      <c r="AY31" s="86">
        <f t="shared" si="30"/>
        <v>528</v>
      </c>
      <c r="AZ31" s="86">
        <f t="shared" si="30"/>
        <v>540</v>
      </c>
      <c r="BA31" s="86">
        <f t="shared" si="30"/>
        <v>552</v>
      </c>
      <c r="BB31" s="86">
        <f t="shared" si="30"/>
        <v>564</v>
      </c>
      <c r="BC31" s="86">
        <f t="shared" si="30"/>
        <v>576</v>
      </c>
      <c r="BD31" s="86">
        <f t="shared" si="30"/>
        <v>588</v>
      </c>
      <c r="BE31" s="86">
        <f t="shared" si="30"/>
        <v>600</v>
      </c>
      <c r="BF31" s="86">
        <f t="shared" si="30"/>
        <v>612</v>
      </c>
      <c r="BG31" s="86">
        <f t="shared" si="30"/>
        <v>624</v>
      </c>
      <c r="BH31" s="86">
        <f t="shared" si="30"/>
        <v>636</v>
      </c>
      <c r="BI31" s="86">
        <f t="shared" si="30"/>
        <v>648</v>
      </c>
      <c r="BJ31" s="86">
        <f t="shared" si="30"/>
        <v>660</v>
      </c>
      <c r="BK31" s="86">
        <f t="shared" si="30"/>
        <v>672</v>
      </c>
      <c r="BL31" s="86">
        <f t="shared" si="30"/>
        <v>684</v>
      </c>
      <c r="BM31" s="86">
        <f t="shared" si="30"/>
        <v>696</v>
      </c>
      <c r="BN31" s="86">
        <f t="shared" si="30"/>
        <v>708</v>
      </c>
      <c r="BO31" s="86">
        <f t="shared" si="30"/>
        <v>720</v>
      </c>
      <c r="BP31" s="86">
        <f t="shared" si="30"/>
        <v>732</v>
      </c>
      <c r="BQ31" s="86">
        <f t="shared" si="30"/>
        <v>744</v>
      </c>
      <c r="BR31" s="86">
        <f t="shared" si="30"/>
        <v>756</v>
      </c>
      <c r="BS31" s="86">
        <f t="shared" si="30"/>
        <v>768</v>
      </c>
      <c r="BT31" s="86">
        <f t="shared" si="30"/>
        <v>780</v>
      </c>
      <c r="BU31" s="86">
        <f t="shared" ref="BU31:DC31" si="31">BT31+$N$13/2</f>
        <v>792</v>
      </c>
      <c r="BV31" s="86">
        <f t="shared" si="31"/>
        <v>804</v>
      </c>
      <c r="BW31" s="86">
        <f t="shared" si="31"/>
        <v>816</v>
      </c>
      <c r="BX31" s="86">
        <f t="shared" si="31"/>
        <v>828</v>
      </c>
      <c r="BY31" s="86">
        <f t="shared" si="31"/>
        <v>840</v>
      </c>
      <c r="BZ31" s="86">
        <f t="shared" si="31"/>
        <v>852</v>
      </c>
      <c r="CA31" s="86">
        <f t="shared" si="31"/>
        <v>864</v>
      </c>
      <c r="CB31" s="86">
        <f t="shared" si="31"/>
        <v>876</v>
      </c>
      <c r="CC31" s="86">
        <f t="shared" si="31"/>
        <v>888</v>
      </c>
      <c r="CD31" s="86">
        <f t="shared" si="31"/>
        <v>900</v>
      </c>
      <c r="CE31" s="86">
        <f t="shared" si="31"/>
        <v>912</v>
      </c>
      <c r="CF31" s="86">
        <f t="shared" si="31"/>
        <v>924</v>
      </c>
      <c r="CG31" s="86">
        <f t="shared" si="31"/>
        <v>936</v>
      </c>
      <c r="CH31" s="86">
        <f t="shared" si="31"/>
        <v>948</v>
      </c>
      <c r="CI31" s="86">
        <f t="shared" si="31"/>
        <v>960</v>
      </c>
      <c r="CJ31" s="86">
        <f t="shared" si="31"/>
        <v>972</v>
      </c>
      <c r="CK31" s="86">
        <f t="shared" si="31"/>
        <v>984</v>
      </c>
      <c r="CL31" s="86">
        <f t="shared" si="31"/>
        <v>996</v>
      </c>
      <c r="CM31" s="86">
        <f t="shared" si="31"/>
        <v>1008</v>
      </c>
      <c r="CN31" s="86">
        <f t="shared" si="31"/>
        <v>1020</v>
      </c>
      <c r="CO31" s="86">
        <f t="shared" si="31"/>
        <v>1032</v>
      </c>
      <c r="CP31" s="86">
        <f t="shared" si="31"/>
        <v>1044</v>
      </c>
      <c r="CQ31" s="86">
        <f t="shared" si="31"/>
        <v>1056</v>
      </c>
      <c r="CR31" s="86">
        <f t="shared" si="31"/>
        <v>1068</v>
      </c>
      <c r="CS31" s="86">
        <f t="shared" si="31"/>
        <v>1080</v>
      </c>
      <c r="CT31" s="86">
        <f t="shared" si="31"/>
        <v>1092</v>
      </c>
      <c r="CU31" s="86">
        <f t="shared" si="31"/>
        <v>1104</v>
      </c>
      <c r="CV31" s="86">
        <f t="shared" si="31"/>
        <v>1116</v>
      </c>
      <c r="CW31" s="86">
        <f t="shared" si="31"/>
        <v>1128</v>
      </c>
      <c r="CX31" s="86">
        <f t="shared" si="31"/>
        <v>1140</v>
      </c>
      <c r="CY31" s="86">
        <f t="shared" si="31"/>
        <v>1152</v>
      </c>
      <c r="CZ31" s="86">
        <f t="shared" si="31"/>
        <v>1164</v>
      </c>
      <c r="DA31" s="86">
        <f t="shared" si="31"/>
        <v>1176</v>
      </c>
      <c r="DB31" s="86">
        <f t="shared" si="31"/>
        <v>1188</v>
      </c>
      <c r="DC31" s="86">
        <f t="shared" si="31"/>
        <v>1200</v>
      </c>
      <c r="DD31" s="88"/>
      <c r="DE31" s="88"/>
      <c r="DF31" s="88"/>
      <c r="DG31" s="88"/>
    </row>
    <row r="32" spans="1:111" x14ac:dyDescent="0.25">
      <c r="B32" s="2" t="s">
        <v>390</v>
      </c>
      <c r="D32" s="1">
        <v>0.5</v>
      </c>
      <c r="F32" s="1">
        <v>0</v>
      </c>
      <c r="G32" s="9">
        <f>50/D32</f>
        <v>100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82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83"/>
      <c r="AO32" s="9"/>
      <c r="AP32" s="9"/>
      <c r="AQ32" s="9"/>
      <c r="AR32" s="9"/>
      <c r="AS32" s="9"/>
      <c r="AT32" s="9"/>
      <c r="AU32" s="9"/>
      <c r="DC32" s="91"/>
    </row>
    <row r="33" spans="2:107" x14ac:dyDescent="0.25">
      <c r="C33" s="2" t="s">
        <v>335</v>
      </c>
      <c r="F33" s="1">
        <v>1</v>
      </c>
      <c r="G33" s="9"/>
      <c r="H33" s="9">
        <f>G32*$D$32*$D$31/6</f>
        <v>20.833333333333332</v>
      </c>
      <c r="I33" s="9">
        <f>G32*$D$32*4/6*$D$31</f>
        <v>83.333333333333343</v>
      </c>
      <c r="J33" s="9">
        <f>G32*$D$32*$D$31/6</f>
        <v>20.833333333333332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82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83"/>
      <c r="AO33" s="9"/>
      <c r="AP33" s="9"/>
      <c r="AQ33" s="9"/>
      <c r="AR33" s="9"/>
      <c r="AS33" s="9"/>
      <c r="AT33" s="9"/>
      <c r="AU33" s="9"/>
      <c r="DC33" s="91"/>
    </row>
    <row r="34" spans="2:107" x14ac:dyDescent="0.25">
      <c r="B34" s="2" t="s">
        <v>302</v>
      </c>
      <c r="C34" s="6">
        <v>-0.4</v>
      </c>
      <c r="D34" s="4">
        <f>(1-C34)*(X40+X41+W40/3)</f>
        <v>498.36105770534931</v>
      </c>
      <c r="E34" s="6">
        <f t="shared" ref="E34:E39" si="32">D34/$D$40</f>
        <v>0.24165557673632335</v>
      </c>
      <c r="F34" s="1">
        <v>2</v>
      </c>
      <c r="G34" s="9"/>
      <c r="H34" s="9"/>
      <c r="I34" s="9"/>
      <c r="J34" s="9">
        <f>H33*$D$32*$D$31</f>
        <v>26.041666666666664</v>
      </c>
      <c r="K34" s="9">
        <f>I33*$D$32*$D$31</f>
        <v>104.16666666666669</v>
      </c>
      <c r="L34" s="9">
        <f>J33*$D$32*$D$31</f>
        <v>26.041666666666664</v>
      </c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82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83"/>
      <c r="AO34" s="9"/>
      <c r="AP34" s="9"/>
      <c r="AQ34" s="9"/>
      <c r="AR34" s="9"/>
      <c r="AS34" s="9"/>
      <c r="AT34" s="9"/>
      <c r="AU34" s="9"/>
      <c r="DC34" s="91"/>
    </row>
    <row r="35" spans="2:107" x14ac:dyDescent="0.25">
      <c r="B35" s="2" t="s">
        <v>303</v>
      </c>
      <c r="C35" s="6">
        <v>-0.16800000000000001</v>
      </c>
      <c r="D35" s="4">
        <f>(1-C35)*(W40*2/3+V39/4+V40/4)</f>
        <v>361.62800259060333</v>
      </c>
      <c r="E35" s="6">
        <f t="shared" si="32"/>
        <v>0.17535363604133161</v>
      </c>
      <c r="F35" s="1">
        <v>3</v>
      </c>
      <c r="G35" s="9"/>
      <c r="H35" s="9"/>
      <c r="I35" s="9"/>
      <c r="J35" s="9"/>
      <c r="K35" s="9"/>
      <c r="L35" s="9">
        <f>J34*$D$32*$D$31</f>
        <v>32.552083333333329</v>
      </c>
      <c r="M35" s="9">
        <f>K34*$D$32*$D$31</f>
        <v>130.20833333333337</v>
      </c>
      <c r="N35" s="9">
        <f>L34*$D$32*$D$31</f>
        <v>32.552083333333329</v>
      </c>
      <c r="O35" s="9"/>
      <c r="P35" s="9"/>
      <c r="Q35" s="9"/>
      <c r="R35" s="9"/>
      <c r="S35" s="9"/>
      <c r="T35" s="9"/>
      <c r="U35" s="9"/>
      <c r="V35" s="9"/>
      <c r="W35" s="9"/>
      <c r="X35" s="82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83"/>
      <c r="AO35" s="9"/>
      <c r="AP35" s="9"/>
      <c r="AQ35" s="9"/>
      <c r="AR35" s="9"/>
      <c r="AS35" s="9"/>
      <c r="AT35" s="9"/>
      <c r="AU35" s="9"/>
      <c r="DC35" s="91"/>
    </row>
    <row r="36" spans="2:107" x14ac:dyDescent="0.25">
      <c r="B36" s="2" t="s">
        <v>304</v>
      </c>
      <c r="C36" s="6">
        <v>0</v>
      </c>
      <c r="D36" s="4">
        <f>(1-C36)*(V39*3/4+V40*3/4+U39)</f>
        <v>452.00188954671228</v>
      </c>
      <c r="E36" s="6">
        <f t="shared" si="32"/>
        <v>0.21917598820271192</v>
      </c>
      <c r="F36" s="1">
        <v>4</v>
      </c>
      <c r="G36" s="9"/>
      <c r="H36" s="9"/>
      <c r="I36" s="9"/>
      <c r="J36" s="9"/>
      <c r="K36" s="9"/>
      <c r="L36" s="9"/>
      <c r="M36" s="9"/>
      <c r="N36" s="9">
        <f>L35*$D$32*$D$31</f>
        <v>40.690104166666657</v>
      </c>
      <c r="O36" s="9">
        <f>M35*$D$32*$D$31</f>
        <v>162.76041666666671</v>
      </c>
      <c r="P36" s="9">
        <f>N35*$D$32*$D$31</f>
        <v>40.690104166666657</v>
      </c>
      <c r="Q36" s="9"/>
      <c r="R36" s="9"/>
      <c r="S36" s="9"/>
      <c r="T36" s="9"/>
      <c r="U36" s="9"/>
      <c r="V36" s="9"/>
      <c r="W36" s="9"/>
      <c r="X36" s="82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83"/>
      <c r="AO36" s="9"/>
      <c r="AP36" s="9"/>
      <c r="AQ36" s="9"/>
      <c r="AR36" s="9"/>
      <c r="AS36" s="9"/>
      <c r="AT36" s="9"/>
      <c r="AU36" s="9"/>
      <c r="DC36" s="91"/>
    </row>
    <row r="37" spans="2:107" x14ac:dyDescent="0.25">
      <c r="B37" s="2" t="s">
        <v>305</v>
      </c>
      <c r="C37" s="6">
        <v>0.1</v>
      </c>
      <c r="D37" s="4">
        <f>(1-C37)*(T38+T39+S38*3/4)</f>
        <v>300.40740966796875</v>
      </c>
      <c r="E37" s="6">
        <f t="shared" si="32"/>
        <v>0.14566773369780237</v>
      </c>
      <c r="F37" s="1">
        <v>5</v>
      </c>
      <c r="G37" s="9"/>
      <c r="H37" s="9"/>
      <c r="I37" s="9"/>
      <c r="J37" s="9"/>
      <c r="K37" s="9"/>
      <c r="L37" s="9"/>
      <c r="M37" s="9"/>
      <c r="N37" s="9"/>
      <c r="O37" s="9"/>
      <c r="P37" s="9">
        <f>N36*$D$32*$D$31</f>
        <v>50.862630208333321</v>
      </c>
      <c r="Q37" s="9">
        <f>O36*$D$32*$D$31</f>
        <v>203.4505208333334</v>
      </c>
      <c r="R37" s="9">
        <f>P36*$D$32*$D$31</f>
        <v>50.862630208333321</v>
      </c>
      <c r="S37" s="9"/>
      <c r="T37" s="9"/>
      <c r="U37" s="9"/>
      <c r="V37" s="9"/>
      <c r="W37" s="9"/>
      <c r="X37" s="82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83"/>
      <c r="AO37" s="9"/>
      <c r="AP37" s="9"/>
      <c r="AQ37" s="9"/>
      <c r="AR37" s="9"/>
      <c r="AS37" s="9"/>
      <c r="AT37" s="9"/>
      <c r="AU37" s="9"/>
      <c r="DC37" s="91"/>
    </row>
    <row r="38" spans="2:107" x14ac:dyDescent="0.25">
      <c r="B38" s="2" t="s">
        <v>306</v>
      </c>
      <c r="C38" s="6">
        <v>0.25</v>
      </c>
      <c r="D38" s="4">
        <f>(1-C38)*(S38/4+R37+R38+Q37)</f>
        <v>286.10229492187506</v>
      </c>
      <c r="E38" s="6">
        <f t="shared" si="32"/>
        <v>0.138731174950288</v>
      </c>
      <c r="F38" s="1">
        <v>6</v>
      </c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>
        <f>P37*$D$32*$D$31</f>
        <v>63.57828776041665</v>
      </c>
      <c r="S38" s="9">
        <f>Q37*$D$32*$D$31</f>
        <v>254.31315104166674</v>
      </c>
      <c r="T38" s="9">
        <f>R37*$D$32*$D$31</f>
        <v>63.57828776041665</v>
      </c>
      <c r="U38" s="9"/>
      <c r="V38" s="9"/>
      <c r="W38" s="9"/>
      <c r="X38" s="82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83"/>
      <c r="AO38" s="9"/>
      <c r="AP38" s="9"/>
      <c r="AQ38" s="9"/>
      <c r="AR38" s="9"/>
      <c r="AS38" s="9"/>
      <c r="AT38" s="9"/>
      <c r="AU38" s="9"/>
      <c r="DC38" s="91"/>
    </row>
    <row r="39" spans="2:107" x14ac:dyDescent="0.25">
      <c r="B39" s="2" t="s">
        <v>307</v>
      </c>
      <c r="C39" s="6">
        <v>0.5</v>
      </c>
      <c r="D39" s="4">
        <f>(1-C39)*(P36+P37+O36+N35+N36)</f>
        <v>163.77766927083331</v>
      </c>
      <c r="E39" s="6">
        <f t="shared" si="32"/>
        <v>7.9415890371542619E-2</v>
      </c>
      <c r="F39" s="1">
        <v>7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>
        <f>R38*$D$32*$D$31</f>
        <v>79.472859700520814</v>
      </c>
      <c r="U39" s="9">
        <f>S38*$D$32*$D$31</f>
        <v>317.89143880208343</v>
      </c>
      <c r="V39" s="9">
        <f>T38*$D$32*$D$31</f>
        <v>79.472859700520814</v>
      </c>
      <c r="W39" s="9"/>
      <c r="X39" s="82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83"/>
      <c r="AO39" s="9"/>
      <c r="AP39" s="9"/>
      <c r="AQ39" s="9"/>
      <c r="AR39" s="9"/>
      <c r="AS39" s="9"/>
      <c r="AT39" s="9"/>
      <c r="AU39" s="9"/>
      <c r="DC39" s="91"/>
    </row>
    <row r="40" spans="2:107" x14ac:dyDescent="0.25">
      <c r="B40" s="2" t="s">
        <v>308</v>
      </c>
      <c r="C40" s="6"/>
      <c r="D40" s="4">
        <f>SUM(D34:D39)</f>
        <v>2062.2783237033423</v>
      </c>
      <c r="F40" s="1">
        <v>8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>
        <f>T39*$D$32*$D$31</f>
        <v>99.341074625651018</v>
      </c>
      <c r="W40" s="9">
        <f>U39*$D$32*$D$31</f>
        <v>397.3642985026043</v>
      </c>
      <c r="X40" s="82">
        <f>V39*$D$32*$D$31</f>
        <v>99.341074625651018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83"/>
      <c r="AO40" s="9"/>
      <c r="AP40" s="9"/>
      <c r="AQ40" s="9"/>
      <c r="AR40" s="9"/>
      <c r="AS40" s="9"/>
      <c r="AT40" s="9"/>
      <c r="AU40" s="9"/>
      <c r="DC40" s="91"/>
    </row>
    <row r="41" spans="2:107" x14ac:dyDescent="0.25">
      <c r="C41" s="6"/>
      <c r="D41" s="4"/>
      <c r="F41" s="78">
        <v>9</v>
      </c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>
        <f>V40*$D$32*$D$31</f>
        <v>124.17634328206377</v>
      </c>
      <c r="Y41" s="9">
        <f>W40*$D$32*$D$31</f>
        <v>496.70537312825536</v>
      </c>
      <c r="Z41" s="9">
        <f>X40*$D$32*$D$31</f>
        <v>124.17634328206377</v>
      </c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83"/>
      <c r="AO41" s="9"/>
      <c r="AP41" s="9"/>
      <c r="AQ41" s="9"/>
      <c r="AR41" s="9"/>
      <c r="AS41" s="9"/>
      <c r="AT41" s="9"/>
      <c r="AU41" s="9"/>
      <c r="DC41" s="91"/>
    </row>
    <row r="42" spans="2:107" x14ac:dyDescent="0.25">
      <c r="B42" s="2" t="s">
        <v>309</v>
      </c>
      <c r="C42" s="6">
        <v>-0.4</v>
      </c>
      <c r="D42" s="4">
        <f>(1-C42)*(AN49+AN48+AM48/3)</f>
        <v>2970.4633814415297</v>
      </c>
      <c r="E42" s="6">
        <f t="shared" ref="E42:E47" si="33">D42/$D$48</f>
        <v>0.24942822102157838</v>
      </c>
      <c r="F42" s="1">
        <v>10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>
        <f>X41*$D$32*$D$31</f>
        <v>155.22042910257971</v>
      </c>
      <c r="AA42" s="9">
        <f>Y41*$D$32*$D$31</f>
        <v>620.8817164103192</v>
      </c>
      <c r="AB42" s="9">
        <f>Z41*$D$32*$D$31</f>
        <v>155.22042910257971</v>
      </c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83"/>
      <c r="AO42" s="9"/>
      <c r="AP42" s="9"/>
      <c r="AQ42" s="9"/>
      <c r="AR42" s="9"/>
      <c r="AS42" s="9"/>
      <c r="AT42" s="9"/>
      <c r="AU42" s="9"/>
      <c r="DC42" s="91"/>
    </row>
    <row r="43" spans="2:107" x14ac:dyDescent="0.25">
      <c r="B43" s="2" t="s">
        <v>310</v>
      </c>
      <c r="C43" s="6">
        <v>-0.16800000000000001</v>
      </c>
      <c r="D43" s="4">
        <f>(1-C43)*(AM48*2/3)</f>
        <v>1844.2531452617718</v>
      </c>
      <c r="E43" s="6">
        <f t="shared" si="33"/>
        <v>0.15486094998176939</v>
      </c>
      <c r="F43" s="1">
        <v>11</v>
      </c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>
        <f>Z42*$D$32*$D$31</f>
        <v>194.02553637822464</v>
      </c>
      <c r="AC43" s="9">
        <f>AA42*$D$32*$D$31</f>
        <v>776.10214551289903</v>
      </c>
      <c r="AD43" s="9">
        <f>AB42*$D$32*$D$31</f>
        <v>194.02553637822464</v>
      </c>
      <c r="AE43" s="9"/>
      <c r="AF43" s="9"/>
      <c r="AG43" s="9"/>
      <c r="AH43" s="9"/>
      <c r="AI43" s="9"/>
      <c r="AJ43" s="9"/>
      <c r="AK43" s="9"/>
      <c r="AL43" s="9"/>
      <c r="AM43" s="9"/>
      <c r="AN43" s="83"/>
      <c r="AO43" s="9"/>
      <c r="AP43" s="9"/>
      <c r="AQ43" s="9"/>
      <c r="AR43" s="9"/>
      <c r="AS43" s="9"/>
      <c r="AT43" s="9"/>
      <c r="AU43" s="9"/>
      <c r="DC43" s="91"/>
    </row>
    <row r="44" spans="2:107" x14ac:dyDescent="0.25">
      <c r="B44" s="2" t="s">
        <v>311</v>
      </c>
      <c r="C44" s="6">
        <v>0</v>
      </c>
      <c r="D44" s="4">
        <f>(1-C44)*(AL47+AL48+AK47*2/3)</f>
        <v>2329.001189435884</v>
      </c>
      <c r="E44" s="6">
        <f t="shared" si="33"/>
        <v>0.19556498392389537</v>
      </c>
      <c r="F44" s="1">
        <v>12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>
        <f>AB43*$D$32*$D$31</f>
        <v>242.5319204727808</v>
      </c>
      <c r="AE44" s="9">
        <f>AC43*$D$32*$D$31</f>
        <v>970.12768189112376</v>
      </c>
      <c r="AF44" s="9">
        <f>AD43*$D$32*$D$31</f>
        <v>242.5319204727808</v>
      </c>
      <c r="AG44" s="9"/>
      <c r="AH44" s="9"/>
      <c r="AI44" s="9"/>
      <c r="AJ44" s="9"/>
      <c r="AK44" s="9"/>
      <c r="AL44" s="9"/>
      <c r="AM44" s="9"/>
      <c r="AN44" s="83"/>
      <c r="AO44" s="9"/>
      <c r="AP44" s="9"/>
      <c r="AQ44" s="9"/>
      <c r="AR44" s="9"/>
      <c r="AS44" s="9"/>
      <c r="AT44" s="9"/>
      <c r="AU44" s="9"/>
      <c r="DC44" s="91"/>
    </row>
    <row r="45" spans="2:107" x14ac:dyDescent="0.25">
      <c r="B45" s="2" t="s">
        <v>312</v>
      </c>
      <c r="C45" s="6">
        <v>0.1</v>
      </c>
      <c r="D45" s="4">
        <f>(1-C45)*(AK47/3+AJ46+AJ47+AI46/2)</f>
        <v>2017.9413695586848</v>
      </c>
      <c r="E45" s="6">
        <f t="shared" si="33"/>
        <v>0.16944545725744969</v>
      </c>
      <c r="F45" s="1">
        <v>13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>
        <f>AD44*$D$32*$D$31</f>
        <v>303.164900590976</v>
      </c>
      <c r="AG45" s="9">
        <f>AE44*$D$32*$D$31</f>
        <v>1212.6596023639047</v>
      </c>
      <c r="AH45" s="9">
        <f>AF44*$D$32*$D$31</f>
        <v>303.164900590976</v>
      </c>
      <c r="AI45" s="9"/>
      <c r="AJ45" s="9"/>
      <c r="AK45" s="9"/>
      <c r="AL45" s="9"/>
      <c r="AM45" s="9"/>
      <c r="AN45" s="83"/>
      <c r="AO45" s="9"/>
      <c r="AP45" s="9"/>
      <c r="AQ45" s="9"/>
      <c r="AR45" s="9"/>
      <c r="AS45" s="9"/>
      <c r="AT45" s="9"/>
      <c r="AU45" s="9"/>
      <c r="DC45" s="91"/>
    </row>
    <row r="46" spans="2:107" x14ac:dyDescent="0.25">
      <c r="B46" s="2" t="s">
        <v>313</v>
      </c>
      <c r="C46" s="6">
        <v>0.25</v>
      </c>
      <c r="D46" s="4">
        <f>(1-C46)*(AI46/2+AH46+AH45+AG45)</f>
        <v>1989.5196601282807</v>
      </c>
      <c r="E46" s="6">
        <f t="shared" si="33"/>
        <v>0.16705890152142927</v>
      </c>
      <c r="F46" s="1">
        <v>14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>
        <f>AF45*$D$32*$D$31</f>
        <v>378.95612573872</v>
      </c>
      <c r="AI46" s="9">
        <f>AG45*$D$32*$D$31</f>
        <v>1515.8245029548809</v>
      </c>
      <c r="AJ46" s="9">
        <f>AH45*$D$32*$D$31</f>
        <v>378.95612573872</v>
      </c>
      <c r="AK46" s="9"/>
      <c r="AL46" s="9"/>
      <c r="AM46" s="9"/>
      <c r="AN46" s="83"/>
      <c r="AO46" s="9"/>
      <c r="AP46" s="9"/>
      <c r="AQ46" s="9"/>
      <c r="AR46" s="9"/>
      <c r="AS46" s="9"/>
      <c r="AT46" s="9"/>
      <c r="AU46" s="9"/>
      <c r="DC46" s="91"/>
    </row>
    <row r="47" spans="2:107" x14ac:dyDescent="0.25">
      <c r="B47" s="2" t="s">
        <v>314</v>
      </c>
      <c r="C47" s="6">
        <v>0.5</v>
      </c>
      <c r="D47" s="4">
        <f>(1-C47)*(AF45+AF44+AE44)</f>
        <v>757.91225147744035</v>
      </c>
      <c r="E47" s="6">
        <f t="shared" si="33"/>
        <v>6.3641486293877822E-2</v>
      </c>
      <c r="F47" s="1">
        <v>15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>
        <f>AH46*$D$32*$D$31</f>
        <v>473.69515717339999</v>
      </c>
      <c r="AK47" s="9">
        <f>AI46*$D$32*$D$31</f>
        <v>1894.7806286936011</v>
      </c>
      <c r="AL47" s="9">
        <f>AJ46*$D$32*$D$31</f>
        <v>473.69515717339999</v>
      </c>
      <c r="AM47" s="9"/>
      <c r="AN47" s="83"/>
      <c r="AO47" s="9"/>
      <c r="AP47" s="9"/>
      <c r="AQ47" s="9"/>
      <c r="AR47" s="9"/>
      <c r="AS47" s="9"/>
      <c r="AT47" s="9"/>
      <c r="AU47" s="9"/>
      <c r="DC47" s="91"/>
    </row>
    <row r="48" spans="2:107" x14ac:dyDescent="0.25">
      <c r="B48" s="2" t="s">
        <v>315</v>
      </c>
      <c r="C48" s="6"/>
      <c r="D48" s="4">
        <f>SUM(D42:D47)</f>
        <v>11909.090997303592</v>
      </c>
      <c r="F48" s="1">
        <v>16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>
        <f>AJ47*$D$32*$D$31</f>
        <v>592.11894646675</v>
      </c>
      <c r="AM48" s="9">
        <f>AK47*$D$32*$D$31</f>
        <v>2368.4757858670014</v>
      </c>
      <c r="AN48" s="83">
        <f>AL47*$D$32*$D$31</f>
        <v>592.11894646675</v>
      </c>
      <c r="AO48" s="9"/>
      <c r="AP48" s="9"/>
      <c r="AQ48" s="9"/>
      <c r="AR48" s="9"/>
      <c r="AS48" s="9"/>
      <c r="AT48" s="9"/>
      <c r="AU48" s="9"/>
      <c r="DC48" s="91"/>
    </row>
    <row r="49" spans="2:107" x14ac:dyDescent="0.25">
      <c r="F49" s="83">
        <v>17</v>
      </c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3"/>
      <c r="AL49" s="83"/>
      <c r="AM49" s="83"/>
      <c r="AN49" s="83">
        <f>AL48*$D$32*$D$31</f>
        <v>740.1486830834375</v>
      </c>
      <c r="AO49" s="9">
        <f>AM48*$D$32*$D$31</f>
        <v>2960.5947323337518</v>
      </c>
      <c r="AP49" s="9">
        <f>AN48*$D$32*$D$31</f>
        <v>740.1486830834375</v>
      </c>
      <c r="AQ49" s="9"/>
      <c r="AR49" s="9"/>
      <c r="AS49" s="9"/>
      <c r="AT49" s="9"/>
      <c r="AU49" s="9"/>
      <c r="DC49" s="91"/>
    </row>
    <row r="50" spans="2:107" x14ac:dyDescent="0.25">
      <c r="B50" s="2" t="s">
        <v>316</v>
      </c>
      <c r="C50" s="6">
        <v>-0.4</v>
      </c>
      <c r="D50" s="4">
        <f>(1-C50)*(DC82+DB82*2/3+DB81*2/3)</f>
        <v>8501210.6835705601</v>
      </c>
      <c r="E50" s="6">
        <f t="shared" ref="E50:E55" si="34">D50/$D$56</f>
        <v>0.36019632678910701</v>
      </c>
      <c r="F50" s="1">
        <v>18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>
        <f>AN49*$D$32*$D$31</f>
        <v>925.18585385429685</v>
      </c>
      <c r="AQ50" s="9">
        <f>AO49*$D$32*$D$31</f>
        <v>3700.7434154171897</v>
      </c>
      <c r="AR50" s="9">
        <f>AP49*$D$32*$D$31</f>
        <v>925.18585385429685</v>
      </c>
      <c r="AS50" s="9"/>
      <c r="AT50" s="9"/>
      <c r="AU50" s="9"/>
      <c r="DC50" s="91"/>
    </row>
    <row r="51" spans="2:107" x14ac:dyDescent="0.25">
      <c r="B51" s="2" t="s">
        <v>317</v>
      </c>
      <c r="C51" s="6">
        <v>-0.16800000000000001</v>
      </c>
      <c r="D51" s="4">
        <f>(1-C51)*(DA81/3+DB81/3+DB82/3)</f>
        <v>2273217.5087935929</v>
      </c>
      <c r="E51" s="6">
        <f t="shared" si="34"/>
        <v>9.6316233903314327E-2</v>
      </c>
      <c r="F51" s="1">
        <v>19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>
        <f>AP50*$D$32*$D$31</f>
        <v>1156.4823173178711</v>
      </c>
      <c r="AS51" s="9">
        <f>AQ50*$D$32*$D$31</f>
        <v>4625.9292692714871</v>
      </c>
      <c r="AT51" s="9">
        <f>AR50*$D$32*$D$31</f>
        <v>1156.4823173178711</v>
      </c>
      <c r="AU51" s="9"/>
      <c r="DC51" s="91"/>
    </row>
    <row r="52" spans="2:107" x14ac:dyDescent="0.25">
      <c r="B52" s="2" t="s">
        <v>318</v>
      </c>
      <c r="C52" s="6">
        <v>0</v>
      </c>
      <c r="D52" s="4">
        <f>(1-C52)*(DA81*2/3+CZ80+CZ81)</f>
        <v>4172755.4271005681</v>
      </c>
      <c r="E52" s="6">
        <f t="shared" si="34"/>
        <v>0.17679966223348112</v>
      </c>
      <c r="F52" s="1">
        <v>20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>
        <f>AR51*$D$32*$D$31</f>
        <v>1445.6028966473389</v>
      </c>
      <c r="AU52" s="9">
        <f>AS51*$D$32*$D$31</f>
        <v>5782.4115865893591</v>
      </c>
      <c r="AV52" s="9">
        <f>AT51*$D$32*$D$31</f>
        <v>1445.6028966473389</v>
      </c>
      <c r="DC52" s="91"/>
    </row>
    <row r="53" spans="2:107" x14ac:dyDescent="0.25">
      <c r="B53" s="2" t="s">
        <v>319</v>
      </c>
      <c r="C53" s="6">
        <v>0.1</v>
      </c>
      <c r="D53" s="4">
        <f>(1-C53)*(CY80+CX80+CX79)</f>
        <v>3901214.9246802926</v>
      </c>
      <c r="E53" s="6">
        <f t="shared" si="34"/>
        <v>0.16529449018366058</v>
      </c>
      <c r="F53" s="1">
        <v>21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>
        <f>AT52*$D$32*$D$31</f>
        <v>1807.0036208091735</v>
      </c>
      <c r="AW53" s="9">
        <f>AU52*$D$32*$D$31</f>
        <v>7228.0144832366987</v>
      </c>
      <c r="AX53" s="9">
        <f>AV52*$D$32*$D$31</f>
        <v>1807.0036208091735</v>
      </c>
      <c r="DC53" s="91"/>
    </row>
    <row r="54" spans="2:107" x14ac:dyDescent="0.25">
      <c r="B54" s="2" t="s">
        <v>320</v>
      </c>
      <c r="C54" s="6">
        <v>0.25</v>
      </c>
      <c r="D54" s="4">
        <f>(1-C54)*(CW79+CV79+CV78)</f>
        <v>2600809.9497868614</v>
      </c>
      <c r="E54" s="6">
        <f t="shared" si="34"/>
        <v>0.11019632678910703</v>
      </c>
      <c r="F54" s="1">
        <v>22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X54" s="9">
        <f>AV53*$D$32*$D$31</f>
        <v>2258.7545260114671</v>
      </c>
      <c r="AY54" s="9">
        <f>AW53*$D$32*$D$31</f>
        <v>9035.0181040458738</v>
      </c>
      <c r="AZ54" s="9">
        <f>AX53*$D$32*$D$31</f>
        <v>2258.7545260114671</v>
      </c>
      <c r="DC54" s="91"/>
    </row>
    <row r="55" spans="2:107" x14ac:dyDescent="0.25">
      <c r="B55" s="2" t="s">
        <v>321</v>
      </c>
      <c r="C55" s="6">
        <v>0.5</v>
      </c>
      <c r="D55" s="4">
        <f>(1-C55)*(CU78+CT78+CT77+CS77)</f>
        <v>2152394.4412029204</v>
      </c>
      <c r="E55" s="6">
        <f t="shared" si="34"/>
        <v>9.119696010132998E-2</v>
      </c>
      <c r="F55" s="1">
        <v>23</v>
      </c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Z55" s="9">
        <f>AX54*$D$32*$D$31</f>
        <v>2823.443157514334</v>
      </c>
      <c r="BA55" s="9">
        <f>AY54*$D$32*$D$31</f>
        <v>11293.772630057341</v>
      </c>
      <c r="BB55" s="9">
        <f>AZ54*$D$32*$D$31</f>
        <v>2823.443157514334</v>
      </c>
      <c r="DC55" s="91"/>
    </row>
    <row r="56" spans="2:107" x14ac:dyDescent="0.25">
      <c r="B56" s="2" t="s">
        <v>322</v>
      </c>
      <c r="C56" s="6"/>
      <c r="D56" s="93">
        <f>SUM(D50:D55)</f>
        <v>23601602.935134795</v>
      </c>
      <c r="F56" s="1">
        <v>24</v>
      </c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BB56" s="9">
        <f>AZ55*$D$32*$D$31</f>
        <v>3529.3039468929173</v>
      </c>
      <c r="BC56" s="9">
        <f>BA55*$D$32*$D$31</f>
        <v>14117.215787571677</v>
      </c>
      <c r="BD56" s="9">
        <f>BB55*$D$32*$D$31</f>
        <v>3529.3039468929173</v>
      </c>
      <c r="DC56" s="91"/>
    </row>
    <row r="57" spans="2:107" x14ac:dyDescent="0.25">
      <c r="F57" s="1">
        <v>25</v>
      </c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BD57" s="9">
        <f>BB56*$D$32*$D$31</f>
        <v>4411.6299336161464</v>
      </c>
      <c r="BE57" s="9">
        <f>BC56*$D$32*$D$31</f>
        <v>17646.519734464597</v>
      </c>
      <c r="BF57" s="9">
        <f>BD56*$D$32*$D$31</f>
        <v>4411.6299336161464</v>
      </c>
      <c r="DC57" s="91"/>
    </row>
    <row r="58" spans="2:107" x14ac:dyDescent="0.25">
      <c r="B58" s="2" t="s">
        <v>350</v>
      </c>
      <c r="C58" s="2" t="s">
        <v>349</v>
      </c>
      <c r="D58" s="93" t="s">
        <v>8</v>
      </c>
      <c r="F58" s="1">
        <v>26</v>
      </c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BF58" s="9">
        <f>BD57*$D$32*$D$31</f>
        <v>5514.5374170201831</v>
      </c>
      <c r="BG58" s="9">
        <f>BE57*$D$32*$D$31</f>
        <v>22058.149668080747</v>
      </c>
      <c r="BH58" s="9">
        <f>BF57*$D$32*$D$31</f>
        <v>5514.5374170201831</v>
      </c>
      <c r="DC58" s="91"/>
    </row>
    <row r="59" spans="2:107" x14ac:dyDescent="0.25">
      <c r="B59" s="2">
        <v>200</v>
      </c>
      <c r="C59" s="88" t="str">
        <f>ROUND((B59-$M$13)/$N$13+0.5,1) &amp;" to "&amp; ROUND(B59/$N$13-0.5,1)</f>
        <v>3.8 to 7.8</v>
      </c>
      <c r="D59" s="93">
        <f>SUMPRODUCT($G$32*($D$31*$D$32)^({3.8,4.8,5.8,6.8,7.8}))</f>
        <v>1916.2145634258918</v>
      </c>
      <c r="F59" s="1">
        <v>27</v>
      </c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BH59" s="9">
        <f>BF58*$D$32*$D$31</f>
        <v>6893.1717712752288</v>
      </c>
      <c r="BI59" s="9">
        <f>BG58*$D$32*$D$31</f>
        <v>27572.687085100933</v>
      </c>
      <c r="BJ59" s="9">
        <f>BH58*$D$32*$D$31</f>
        <v>6893.1717712752288</v>
      </c>
      <c r="DC59" s="91"/>
    </row>
    <row r="60" spans="2:107" x14ac:dyDescent="0.25">
      <c r="B60" s="2">
        <v>400</v>
      </c>
      <c r="C60" s="88" t="str">
        <f>ROUND((B60-$M$13)/$N$13+0.5,1) &amp;" to "&amp; ROUND(B60/$N$13-0.5,1)</f>
        <v>12.2 to 16.2</v>
      </c>
      <c r="D60" s="93">
        <f>SUMPRODUCT($G$32*($D$31*$D$32)^({12.2,13.2,14.2,15.2,16.2}))</f>
        <v>12487.866456435</v>
      </c>
      <c r="F60" s="1">
        <v>28</v>
      </c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BJ60" s="9">
        <f>BH59*$D$32*$D$31</f>
        <v>8616.464714094036</v>
      </c>
      <c r="BK60" s="9">
        <f>BI59*$D$32*$D$31</f>
        <v>34465.858856376166</v>
      </c>
      <c r="BL60" s="9">
        <f>BJ59*$D$32*$D$31</f>
        <v>8616.464714094036</v>
      </c>
      <c r="DC60" s="91"/>
    </row>
    <row r="61" spans="2:107" x14ac:dyDescent="0.25">
      <c r="B61" s="2">
        <v>1200</v>
      </c>
      <c r="C61" s="88" t="str">
        <f>ROUND((B61-$M$13)/$N$13+0.5,1) &amp;" to "&amp; ROUND(B61/$N$13-0.5,1)</f>
        <v>45.5 to 49.5</v>
      </c>
      <c r="D61" s="93">
        <f>SUMPRODUCT($G$32*($D$31*$D$32)^({45.5,46.5,47.5,48.5,49.5}))</f>
        <v>21066465.622129101</v>
      </c>
      <c r="F61" s="1">
        <v>29</v>
      </c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BL61" s="9">
        <f>BJ60*$D$32*$D$31</f>
        <v>10770.580892617545</v>
      </c>
      <c r="BM61" s="9">
        <f>BK60*$D$32*$D$31</f>
        <v>43082.323570470209</v>
      </c>
      <c r="BN61" s="9">
        <f>BL60*$D$32*$D$31</f>
        <v>10770.580892617545</v>
      </c>
      <c r="DC61" s="91"/>
    </row>
    <row r="62" spans="2:107" x14ac:dyDescent="0.25">
      <c r="B62" s="2">
        <v>3800</v>
      </c>
      <c r="C62" s="88" t="str">
        <f>ROUND((B62-$M$13)/$N$13+0.5,1) &amp;" to "&amp; ROUND(B62/$N$13-0.5,1)</f>
        <v>153.8 to 157.8</v>
      </c>
      <c r="D62" s="93">
        <f>SUMPRODUCT($G$32*($D$31*$D$32)^({153.8,154.8,155.8,156.8,157.8}))</f>
        <v>6.5909207206968E+17</v>
      </c>
      <c r="F62" s="1">
        <v>30</v>
      </c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BN62" s="9">
        <f>BL61*$D$32*$D$31</f>
        <v>13463.226115771931</v>
      </c>
      <c r="BO62" s="9">
        <f>BM61*$D$32*$D$31</f>
        <v>53852.904463087762</v>
      </c>
      <c r="BP62" s="9">
        <f>BN61*$D$32*$D$31</f>
        <v>13463.226115771931</v>
      </c>
      <c r="DC62" s="91"/>
    </row>
    <row r="63" spans="2:107" x14ac:dyDescent="0.25">
      <c r="F63" s="1">
        <v>31</v>
      </c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BP63" s="9">
        <f>BN62*$D$32*$D$31</f>
        <v>16829.032644714913</v>
      </c>
      <c r="BQ63" s="9">
        <f>BO62*$D$32*$D$31</f>
        <v>67316.130578859709</v>
      </c>
      <c r="BR63" s="9">
        <f>BP62*$D$32*$D$31</f>
        <v>16829.032644714913</v>
      </c>
      <c r="DC63" s="91"/>
    </row>
    <row r="64" spans="2:107" x14ac:dyDescent="0.25">
      <c r="C64" s="9">
        <f>100*D30</f>
        <v>500</v>
      </c>
      <c r="F64" s="1">
        <v>32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BR64" s="9">
        <f>BP63*$D$32*$D$31</f>
        <v>21036.290805893641</v>
      </c>
      <c r="BS64" s="9">
        <f>BQ63*$D$32*$D$31</f>
        <v>84145.163223574637</v>
      </c>
      <c r="BT64" s="9">
        <f>BR63*$D$32*$D$31</f>
        <v>21036.290805893641</v>
      </c>
      <c r="DC64" s="91"/>
    </row>
    <row r="65" spans="2:107" x14ac:dyDescent="0.25">
      <c r="B65" s="2" t="s">
        <v>278</v>
      </c>
      <c r="C65" s="9">
        <f>C64*(1+C34)</f>
        <v>300</v>
      </c>
      <c r="D65" s="2" t="str">
        <f>ROUND((1-C34)*C64-C64,0)&amp;" die as children"</f>
        <v>200 die as children</v>
      </c>
      <c r="E65" s="6">
        <f>(C64-C65)/C64</f>
        <v>0.4</v>
      </c>
      <c r="F65" s="1">
        <v>33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BT65" s="9">
        <f>BR64*$D$32*$D$31</f>
        <v>26295.363507367052</v>
      </c>
      <c r="BU65" s="9">
        <f>BS64*$D$32*$D$31</f>
        <v>105181.4540294683</v>
      </c>
      <c r="BV65" s="9">
        <f>BT64*$D$32*$D$31</f>
        <v>26295.363507367052</v>
      </c>
      <c r="DC65" s="91"/>
    </row>
    <row r="66" spans="2:107" x14ac:dyDescent="0.25">
      <c r="B66" s="2" t="s">
        <v>383</v>
      </c>
      <c r="C66" s="9">
        <f>C65*(1+C35)</f>
        <v>249.6</v>
      </c>
      <c r="D66" s="2" t="str">
        <f>ROUND((1-C35)*C65-C65,0)&amp;" die before being able to procreate"</f>
        <v>50 die before being able to procreate</v>
      </c>
      <c r="E66" s="6">
        <f>(C65-C66)/C64</f>
        <v>0.10080000000000001</v>
      </c>
      <c r="F66" s="1">
        <v>34</v>
      </c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BV66" s="9">
        <f>BT65*$D$32*$D$31</f>
        <v>32869.204384208817</v>
      </c>
      <c r="BW66" s="9">
        <f>BU65*$D$32*$D$31</f>
        <v>131476.81753683538</v>
      </c>
      <c r="BX66" s="9">
        <f>BV65*$D$32*$D$31</f>
        <v>32869.204384208817</v>
      </c>
      <c r="DC66" s="91"/>
    </row>
    <row r="67" spans="2:107" x14ac:dyDescent="0.25">
      <c r="B67" s="2" t="s">
        <v>384</v>
      </c>
      <c r="C67" s="9">
        <f>C66</f>
        <v>249.6</v>
      </c>
      <c r="D67" s="2" t="str">
        <f>ROUND(C67-(1-C36)*C67,0)&amp;" die before being mature"</f>
        <v>0 die before being mature</v>
      </c>
      <c r="E67" s="6">
        <f>(C66-C67)/C64</f>
        <v>0</v>
      </c>
      <c r="F67" s="1">
        <v>35</v>
      </c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BX67" s="9">
        <f>BV66*$D$32*$D$31</f>
        <v>41086.505480261025</v>
      </c>
      <c r="BY67" s="9">
        <f>BW66*$D$32*$D$31</f>
        <v>164346.02192104422</v>
      </c>
      <c r="BZ67" s="9">
        <f>BX66*$D$32*$D$31</f>
        <v>41086.505480261025</v>
      </c>
      <c r="DC67" s="91"/>
    </row>
    <row r="68" spans="2:107" x14ac:dyDescent="0.25">
      <c r="B68" s="2" t="s">
        <v>280</v>
      </c>
      <c r="C68" s="9">
        <f>C67*(1-C36)</f>
        <v>249.6</v>
      </c>
      <c r="D68" s="2" t="str">
        <f>ROUND(C68-(1-C37)*C68,0)&amp;" die before being middle-age"</f>
        <v>25 die before being middle-age</v>
      </c>
      <c r="E68" s="6">
        <f>(C68-C69)/C64</f>
        <v>4.9920000000000013E-2</v>
      </c>
      <c r="F68" s="1">
        <v>36</v>
      </c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BZ68" s="9">
        <f>BX67*$D$32*$D$31</f>
        <v>51358.131850326281</v>
      </c>
      <c r="CA68" s="9">
        <f>BY67*$D$32*$D$31</f>
        <v>205432.52740130527</v>
      </c>
      <c r="CB68" s="9">
        <f>BZ67*$D$32*$D$31</f>
        <v>51358.131850326281</v>
      </c>
      <c r="DC68" s="91"/>
    </row>
    <row r="69" spans="2:107" x14ac:dyDescent="0.25">
      <c r="B69" s="2" t="s">
        <v>281</v>
      </c>
      <c r="C69" s="9">
        <f t="shared" ref="C69:C71" si="35">C68*(1-C37)</f>
        <v>224.64</v>
      </c>
      <c r="D69" s="2" t="str">
        <f>ROUND(C69-(1-C38)*C69,0)&amp;" die before being old"</f>
        <v>56 die before being old</v>
      </c>
      <c r="E69" s="6">
        <f>(C69-C70)/C64</f>
        <v>0.11231999999999999</v>
      </c>
      <c r="F69" s="1">
        <v>37</v>
      </c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CB69" s="9">
        <f>BZ68*$D$32*$D$31</f>
        <v>64197.664812907853</v>
      </c>
      <c r="CC69" s="9">
        <f>CA68*$D$32*$D$31</f>
        <v>256790.65925163159</v>
      </c>
      <c r="CD69" s="9">
        <f>CB68*$D$32*$D$31</f>
        <v>64197.664812907853</v>
      </c>
      <c r="DC69" s="91"/>
    </row>
    <row r="70" spans="2:107" x14ac:dyDescent="0.25">
      <c r="B70" s="2" t="s">
        <v>375</v>
      </c>
      <c r="C70" s="9">
        <f t="shared" si="35"/>
        <v>168.48</v>
      </c>
      <c r="D70" s="2" t="str">
        <f>ROUND(C70-(1-C39)*C70,0)&amp;" die before being venerable"</f>
        <v>84 die before being venerable</v>
      </c>
      <c r="E70" s="6">
        <f>(C70-C71)/C64</f>
        <v>0.16847999999999999</v>
      </c>
      <c r="F70" s="1">
        <v>38</v>
      </c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CD70" s="9">
        <f>CB69*$D$32*$D$31</f>
        <v>80247.08101613482</v>
      </c>
      <c r="CE70" s="9">
        <f>CC69*$D$32*$D$31</f>
        <v>320988.32406453951</v>
      </c>
      <c r="CF70" s="9">
        <f>CD69*$D$32*$D$31</f>
        <v>80247.08101613482</v>
      </c>
      <c r="DC70" s="91"/>
    </row>
    <row r="71" spans="2:107" x14ac:dyDescent="0.25">
      <c r="B71" s="2" t="s">
        <v>283</v>
      </c>
      <c r="C71" s="9">
        <f t="shared" si="35"/>
        <v>84.24</v>
      </c>
      <c r="E71" s="6">
        <f>C71/C64</f>
        <v>0.16847999999999999</v>
      </c>
      <c r="F71" s="1">
        <v>39</v>
      </c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CF71" s="9">
        <f>CD70*$D$32*$D$31</f>
        <v>100308.85127016852</v>
      </c>
      <c r="CG71" s="9">
        <f>CE70*$D$32*$D$31</f>
        <v>401235.40508067439</v>
      </c>
      <c r="CH71" s="9">
        <f>CF70*$D$32*$D$31</f>
        <v>100308.85127016852</v>
      </c>
      <c r="DC71" s="91"/>
    </row>
    <row r="72" spans="2:107" x14ac:dyDescent="0.25">
      <c r="F72" s="1">
        <v>40</v>
      </c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CH72" s="9">
        <f>CF71*$D$32*$D$31</f>
        <v>125386.06408771066</v>
      </c>
      <c r="CI72" s="9">
        <f>CG71*$D$32*$D$31</f>
        <v>501544.256350843</v>
      </c>
      <c r="CJ72" s="9">
        <f>CH71*$D$32*$D$31</f>
        <v>125386.06408771066</v>
      </c>
      <c r="DC72" s="91"/>
    </row>
    <row r="73" spans="2:107" x14ac:dyDescent="0.25">
      <c r="F73" s="1">
        <v>41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CJ73" s="9">
        <f>CH72*$D$32*$D$31</f>
        <v>156732.58010963834</v>
      </c>
      <c r="CK73" s="9">
        <f>CI72*$D$32*$D$31</f>
        <v>626930.32043855381</v>
      </c>
      <c r="CL73" s="9">
        <f>CJ72*$D$32*$D$31</f>
        <v>156732.58010963834</v>
      </c>
      <c r="DC73" s="91"/>
    </row>
    <row r="74" spans="2:107" x14ac:dyDescent="0.25">
      <c r="F74" s="1">
        <v>42</v>
      </c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CL74" s="9">
        <f>CJ73*$D$32*$D$31</f>
        <v>195915.72513704794</v>
      </c>
      <c r="CM74" s="9">
        <f>CK73*$D$32*$D$31</f>
        <v>783662.90054819221</v>
      </c>
      <c r="CN74" s="9">
        <f>CL73*$D$32*$D$31</f>
        <v>195915.72513704794</v>
      </c>
      <c r="DC74" s="91"/>
    </row>
    <row r="75" spans="2:107" x14ac:dyDescent="0.25">
      <c r="F75" s="1">
        <v>43</v>
      </c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CN75" s="9">
        <f>CL74*$D$32*$D$31</f>
        <v>244894.65642130992</v>
      </c>
      <c r="CO75" s="9">
        <f>CM74*$D$32*$D$31</f>
        <v>979578.62568524026</v>
      </c>
      <c r="CP75" s="9">
        <f>CN74*$D$32*$D$31</f>
        <v>244894.65642130992</v>
      </c>
      <c r="DC75" s="91"/>
    </row>
    <row r="76" spans="2:107" x14ac:dyDescent="0.25">
      <c r="F76" s="1">
        <v>44</v>
      </c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CP76" s="9">
        <f>CN75*$D$32*$D$31</f>
        <v>306118.32052663737</v>
      </c>
      <c r="CQ76" s="9">
        <f>CO75*$D$32*$D$31</f>
        <v>1224473.2821065504</v>
      </c>
      <c r="CR76" s="9">
        <f>CP75*$D$32*$D$31</f>
        <v>306118.32052663737</v>
      </c>
      <c r="DC76" s="91"/>
    </row>
    <row r="77" spans="2:107" x14ac:dyDescent="0.25">
      <c r="F77" s="1">
        <v>45</v>
      </c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CR77" s="9">
        <f>CP76*$D$32*$D$31</f>
        <v>382647.90065829671</v>
      </c>
      <c r="CS77" s="9">
        <f>CQ76*$D$32*$D$31</f>
        <v>1530591.602633188</v>
      </c>
      <c r="CT77" s="9">
        <f>CR76*$D$32*$D$31</f>
        <v>382647.90065829671</v>
      </c>
      <c r="DC77" s="91"/>
    </row>
    <row r="78" spans="2:107" x14ac:dyDescent="0.25">
      <c r="F78" s="1">
        <v>46</v>
      </c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CT78" s="9">
        <f>CR77*$D$32*$D$31</f>
        <v>478309.87582287088</v>
      </c>
      <c r="CU78" s="9">
        <f>CS77*$D$32*$D$31</f>
        <v>1913239.5032914849</v>
      </c>
      <c r="CV78" s="9">
        <f>CT77*$D$32*$D$31</f>
        <v>478309.87582287088</v>
      </c>
      <c r="DC78" s="91"/>
    </row>
    <row r="79" spans="2:107" x14ac:dyDescent="0.25">
      <c r="F79" s="1">
        <v>47</v>
      </c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CV79" s="9">
        <f>CT78*$D$32*$D$31</f>
        <v>597887.34477858862</v>
      </c>
      <c r="CW79" s="9">
        <f>CU78*$D$32*$D$31</f>
        <v>2391549.3791143559</v>
      </c>
      <c r="CX79" s="9">
        <f>CV78*$D$32*$D$31</f>
        <v>597887.34477858862</v>
      </c>
      <c r="DC79" s="91"/>
    </row>
    <row r="80" spans="2:107" x14ac:dyDescent="0.25">
      <c r="F80" s="1">
        <v>48</v>
      </c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CX80" s="9">
        <f>CV79*$D$32*$D$31</f>
        <v>747359.18097323575</v>
      </c>
      <c r="CY80" s="9">
        <f>CW79*$D$32*$D$31</f>
        <v>2989436.7238929449</v>
      </c>
      <c r="CZ80" s="9">
        <f>CX79*$D$32*$D$31</f>
        <v>747359.18097323575</v>
      </c>
      <c r="DC80" s="91"/>
    </row>
    <row r="81" spans="1:108" x14ac:dyDescent="0.25">
      <c r="F81" s="1">
        <v>49</v>
      </c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CZ81" s="9">
        <f>CX80*$D$32*$D$31</f>
        <v>934198.97621654463</v>
      </c>
      <c r="DA81" s="9">
        <f>CY80*$D$32*$D$31</f>
        <v>3736795.9048661813</v>
      </c>
      <c r="DB81" s="9">
        <f>CZ80*$D$32*$D$31</f>
        <v>934198.97621654463</v>
      </c>
      <c r="DC81" s="91"/>
    </row>
    <row r="82" spans="1:108" x14ac:dyDescent="0.25">
      <c r="F82" s="91">
        <v>50</v>
      </c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1"/>
      <c r="AS82" s="91"/>
      <c r="AT82" s="91"/>
      <c r="AU82" s="91"/>
      <c r="AV82" s="91"/>
      <c r="AW82" s="91"/>
      <c r="AX82" s="91"/>
      <c r="AY82" s="91"/>
      <c r="AZ82" s="91"/>
      <c r="BA82" s="91"/>
      <c r="BB82" s="91"/>
      <c r="BC82" s="91"/>
      <c r="BD82" s="91"/>
      <c r="BE82" s="91"/>
      <c r="BF82" s="91"/>
      <c r="BG82" s="91"/>
      <c r="BH82" s="91"/>
      <c r="BI82" s="91"/>
      <c r="BJ82" s="91"/>
      <c r="BK82" s="91"/>
      <c r="BL82" s="91"/>
      <c r="BM82" s="91"/>
      <c r="BN82" s="91"/>
      <c r="BO82" s="91"/>
      <c r="BP82" s="91"/>
      <c r="BQ82" s="91"/>
      <c r="BR82" s="91"/>
      <c r="BS82" s="91"/>
      <c r="BT82" s="91"/>
      <c r="BU82" s="91"/>
      <c r="BV82" s="91"/>
      <c r="BW82" s="91"/>
      <c r="BX82" s="91"/>
      <c r="BY82" s="91"/>
      <c r="BZ82" s="91"/>
      <c r="CA82" s="91"/>
      <c r="CB82" s="91"/>
      <c r="CC82" s="91"/>
      <c r="CD82" s="91"/>
      <c r="CE82" s="91"/>
      <c r="CF82" s="91"/>
      <c r="CG82" s="91"/>
      <c r="CH82" s="91"/>
      <c r="CI82" s="91"/>
      <c r="CJ82" s="91"/>
      <c r="CK82" s="91"/>
      <c r="CL82" s="91"/>
      <c r="CM82" s="91"/>
      <c r="CN82" s="91"/>
      <c r="CO82" s="91"/>
      <c r="CP82" s="91"/>
      <c r="CQ82" s="91"/>
      <c r="CR82" s="91"/>
      <c r="CS82" s="91"/>
      <c r="CT82" s="91"/>
      <c r="CU82" s="91"/>
      <c r="CV82" s="91"/>
      <c r="CW82" s="91"/>
      <c r="CX82" s="91"/>
      <c r="CY82" s="91"/>
      <c r="CZ82" s="91"/>
      <c r="DA82" s="91"/>
      <c r="DB82" s="91">
        <f>CZ81*$D$32*$D$31</f>
        <v>1167748.7202706807</v>
      </c>
      <c r="DC82" s="91">
        <f>DA81*$D$32*$D$31</f>
        <v>4670994.8810827266</v>
      </c>
      <c r="DD82" s="9">
        <f>DB81*$D$32*$D$31</f>
        <v>1167748.7202706807</v>
      </c>
    </row>
    <row r="84" spans="1:108" x14ac:dyDescent="0.25"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88"/>
    </row>
    <row r="85" spans="1:108" ht="15.5" x14ac:dyDescent="0.35">
      <c r="A85" s="11" t="s">
        <v>112</v>
      </c>
      <c r="B85" s="1" t="s">
        <v>329</v>
      </c>
      <c r="D85" s="1">
        <v>4</v>
      </c>
      <c r="E85" s="84"/>
      <c r="G85" s="76" t="s">
        <v>331</v>
      </c>
    </row>
    <row r="86" spans="1:108" ht="15.5" x14ac:dyDescent="0.35">
      <c r="B86" s="1" t="s">
        <v>330</v>
      </c>
      <c r="D86" s="1">
        <v>3.6</v>
      </c>
      <c r="E86" s="6">
        <f>D86/D85</f>
        <v>0.9</v>
      </c>
      <c r="F86" s="76" t="s">
        <v>301</v>
      </c>
      <c r="G86" s="85">
        <v>0</v>
      </c>
      <c r="H86" s="86">
        <f>G86+$N$5/2</f>
        <v>35.5</v>
      </c>
      <c r="I86" s="86">
        <f t="shared" ref="I86:AO86" si="36">H86+$N$5/2</f>
        <v>71</v>
      </c>
      <c r="J86" s="86">
        <f t="shared" si="36"/>
        <v>106.5</v>
      </c>
      <c r="K86" s="86">
        <f t="shared" si="36"/>
        <v>142</v>
      </c>
      <c r="L86" s="86">
        <f t="shared" si="36"/>
        <v>177.5</v>
      </c>
      <c r="M86" s="86">
        <f t="shared" si="36"/>
        <v>213</v>
      </c>
      <c r="N86" s="86">
        <f t="shared" si="36"/>
        <v>248.5</v>
      </c>
      <c r="O86" s="86">
        <f t="shared" si="36"/>
        <v>284</v>
      </c>
      <c r="P86" s="86">
        <f t="shared" si="36"/>
        <v>319.5</v>
      </c>
      <c r="Q86" s="86">
        <f t="shared" si="36"/>
        <v>355</v>
      </c>
      <c r="R86" s="86">
        <f t="shared" si="36"/>
        <v>390.5</v>
      </c>
      <c r="S86" s="86">
        <f t="shared" si="36"/>
        <v>426</v>
      </c>
      <c r="T86" s="86">
        <f t="shared" si="36"/>
        <v>461.5</v>
      </c>
      <c r="U86" s="86">
        <f t="shared" si="36"/>
        <v>497</v>
      </c>
      <c r="V86" s="86">
        <f t="shared" si="36"/>
        <v>532.5</v>
      </c>
      <c r="W86" s="86">
        <f t="shared" si="36"/>
        <v>568</v>
      </c>
      <c r="X86" s="86">
        <f t="shared" si="36"/>
        <v>603.5</v>
      </c>
      <c r="Y86" s="86">
        <f t="shared" si="36"/>
        <v>639</v>
      </c>
      <c r="Z86" s="86">
        <f t="shared" si="36"/>
        <v>674.5</v>
      </c>
      <c r="AA86" s="86">
        <f t="shared" si="36"/>
        <v>710</v>
      </c>
      <c r="AB86" s="86">
        <f t="shared" si="36"/>
        <v>745.5</v>
      </c>
      <c r="AC86" s="86">
        <f t="shared" si="36"/>
        <v>781</v>
      </c>
      <c r="AD86" s="86">
        <f t="shared" si="36"/>
        <v>816.5</v>
      </c>
      <c r="AE86" s="86">
        <f t="shared" si="36"/>
        <v>852</v>
      </c>
      <c r="AF86" s="86">
        <f t="shared" si="36"/>
        <v>887.5</v>
      </c>
      <c r="AG86" s="86">
        <f t="shared" si="36"/>
        <v>923</v>
      </c>
      <c r="AH86" s="86">
        <f t="shared" si="36"/>
        <v>958.5</v>
      </c>
      <c r="AI86" s="86">
        <f t="shared" si="36"/>
        <v>994</v>
      </c>
      <c r="AJ86" s="86">
        <f t="shared" si="36"/>
        <v>1029.5</v>
      </c>
      <c r="AK86" s="86">
        <f t="shared" si="36"/>
        <v>1065</v>
      </c>
      <c r="AL86" s="86">
        <f t="shared" si="36"/>
        <v>1100.5</v>
      </c>
      <c r="AM86" s="86">
        <f t="shared" si="36"/>
        <v>1136</v>
      </c>
      <c r="AN86" s="86">
        <f t="shared" si="36"/>
        <v>1171.5</v>
      </c>
      <c r="AO86" s="86">
        <f t="shared" si="36"/>
        <v>1207</v>
      </c>
      <c r="AP86" s="88"/>
      <c r="AQ86" s="88"/>
      <c r="AR86" s="88"/>
    </row>
    <row r="87" spans="1:108" ht="14.5" x14ac:dyDescent="0.35">
      <c r="B87" s="2" t="s">
        <v>390</v>
      </c>
      <c r="D87" s="1">
        <f>1/3</f>
        <v>0.33333333333333331</v>
      </c>
      <c r="F87" s="1">
        <v>0</v>
      </c>
      <c r="G87" s="1">
        <f>50/D87</f>
        <v>150</v>
      </c>
      <c r="J87" s="80"/>
      <c r="K87" s="80"/>
      <c r="L87" s="80"/>
      <c r="M87" s="81"/>
      <c r="N87" s="80"/>
      <c r="O87" s="80"/>
      <c r="R87" s="79"/>
      <c r="AO87" s="89"/>
    </row>
    <row r="88" spans="1:108" ht="14.5" x14ac:dyDescent="0.35">
      <c r="C88" s="2" t="s">
        <v>335</v>
      </c>
      <c r="F88" s="1">
        <v>1</v>
      </c>
      <c r="H88" s="9">
        <f>G87*$D$87*$D$86/6</f>
        <v>30</v>
      </c>
      <c r="I88" s="9">
        <f>G87*$D$87*4/6*$D$86</f>
        <v>120.00000000000001</v>
      </c>
      <c r="J88" s="9">
        <f>G87*$D$87*$D$86/6</f>
        <v>30</v>
      </c>
      <c r="K88" s="80"/>
      <c r="L88" s="80"/>
      <c r="M88" s="81"/>
      <c r="N88" s="80"/>
      <c r="O88" s="80"/>
      <c r="R88" s="79"/>
      <c r="AO88" s="89"/>
    </row>
    <row r="89" spans="1:108" ht="14.5" x14ac:dyDescent="0.35">
      <c r="B89" s="2" t="s">
        <v>302</v>
      </c>
      <c r="C89" s="6">
        <v>-0.08</v>
      </c>
      <c r="D89" s="9">
        <f>(1-C89)*(M90)</f>
        <v>186.62400000000002</v>
      </c>
      <c r="E89" s="6">
        <f>D89/$D95</f>
        <v>0.24003481986584477</v>
      </c>
      <c r="F89" s="1">
        <v>2</v>
      </c>
      <c r="J89" s="9">
        <f>H88*$D$87*$D$86</f>
        <v>36</v>
      </c>
      <c r="K89" s="9">
        <f>I88*$D$87*$D$86</f>
        <v>144</v>
      </c>
      <c r="L89" s="9">
        <f>J88*$D$87*$D$86</f>
        <v>36</v>
      </c>
      <c r="M89" s="81"/>
      <c r="N89" s="80"/>
      <c r="O89" s="87"/>
      <c r="Q89" s="80"/>
      <c r="R89" s="79"/>
      <c r="S89" s="80"/>
      <c r="T89" s="80"/>
      <c r="U89" s="80"/>
      <c r="AO89" s="89"/>
    </row>
    <row r="90" spans="1:108" ht="14.5" x14ac:dyDescent="0.35">
      <c r="B90" s="2" t="s">
        <v>303</v>
      </c>
      <c r="C90" s="6">
        <v>-2.1000000000000001E-2</v>
      </c>
      <c r="D90" s="9">
        <f>(1-C90)*(L89+L90)</f>
        <v>80.863199999999992</v>
      </c>
      <c r="E90" s="6">
        <f>D90/D95</f>
        <v>0.10400582800591443</v>
      </c>
      <c r="F90" s="78">
        <v>3</v>
      </c>
      <c r="G90" s="78"/>
      <c r="H90" s="78"/>
      <c r="I90" s="78"/>
      <c r="J90" s="78"/>
      <c r="K90" s="81"/>
      <c r="L90" s="104">
        <f>J89*$D$87*$D$86</f>
        <v>43.2</v>
      </c>
      <c r="M90" s="104">
        <f>K89*$D$87*$D$86</f>
        <v>172.8</v>
      </c>
      <c r="N90" s="9">
        <f>L89*$D$87*$D$86</f>
        <v>43.2</v>
      </c>
      <c r="O90" s="80"/>
      <c r="R90" s="79"/>
      <c r="W90" s="80"/>
      <c r="X90" s="80"/>
      <c r="Y90" s="80"/>
      <c r="Z90" s="80"/>
      <c r="AA90" s="80"/>
      <c r="AO90" s="89"/>
    </row>
    <row r="91" spans="1:108" ht="14.5" x14ac:dyDescent="0.35">
      <c r="B91" s="2" t="s">
        <v>304</v>
      </c>
      <c r="C91" s="6">
        <v>0</v>
      </c>
      <c r="D91" s="9">
        <f>(1-C91)*(K89+J88+J89+I88)</f>
        <v>330</v>
      </c>
      <c r="E91" s="6">
        <f>D91/D95</f>
        <v>0.42444428667121464</v>
      </c>
      <c r="F91" s="1">
        <v>4</v>
      </c>
      <c r="N91" s="9">
        <f>L90*$D$87*$D$86</f>
        <v>51.84</v>
      </c>
      <c r="O91" s="9">
        <f>M90*$D$87*$D$86</f>
        <v>207.36</v>
      </c>
      <c r="P91" s="9">
        <f>N90*$D$87*$D$86</f>
        <v>51.84</v>
      </c>
      <c r="R91" s="79"/>
      <c r="AC91" s="80"/>
      <c r="AD91" s="80"/>
      <c r="AE91" s="80"/>
      <c r="AF91" s="80"/>
      <c r="AG91" s="80"/>
      <c r="AO91" s="89"/>
      <c r="AS91" s="80"/>
    </row>
    <row r="92" spans="1:108" ht="14.5" x14ac:dyDescent="0.35">
      <c r="B92" s="2" t="s">
        <v>305</v>
      </c>
      <c r="C92" s="6">
        <v>0</v>
      </c>
      <c r="D92" s="9">
        <f>(1-C92)*(H88+G87)</f>
        <v>180</v>
      </c>
      <c r="E92" s="6">
        <f>D92/D95</f>
        <v>0.23151506545702616</v>
      </c>
      <c r="F92" s="1">
        <v>5</v>
      </c>
      <c r="P92" s="9">
        <f>N91*$D$87*$D$86</f>
        <v>62.208000000000006</v>
      </c>
      <c r="Q92" s="9">
        <f>O91*$D$87*$D$86</f>
        <v>248.83200000000002</v>
      </c>
      <c r="R92" s="83">
        <f>P91*$D$87*$D$86</f>
        <v>62.208000000000006</v>
      </c>
      <c r="AI92" s="80"/>
      <c r="AJ92" s="80"/>
      <c r="AK92" s="80"/>
      <c r="AL92" s="80"/>
      <c r="AM92" s="80"/>
      <c r="AO92" s="89"/>
      <c r="AU92" s="80"/>
      <c r="AV92" s="80"/>
      <c r="AW92" s="80"/>
      <c r="AX92" s="80"/>
      <c r="AY92" s="80"/>
    </row>
    <row r="93" spans="1:108" ht="14.5" x14ac:dyDescent="0.35">
      <c r="B93" s="2" t="s">
        <v>306</v>
      </c>
      <c r="C93" s="6">
        <v>0.15</v>
      </c>
      <c r="D93" s="9">
        <v>0</v>
      </c>
      <c r="E93" s="6">
        <f>D93/D95</f>
        <v>0</v>
      </c>
      <c r="F93" s="79">
        <v>6</v>
      </c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83">
        <f>P92*$D$87*$D$86</f>
        <v>74.649600000000007</v>
      </c>
      <c r="S93" s="9">
        <f>Q92*$D$87*$D$86</f>
        <v>298.59840000000003</v>
      </c>
      <c r="T93" s="9">
        <f>R92*$D$87*$D$86</f>
        <v>74.649600000000007</v>
      </c>
      <c r="AO93" s="89"/>
      <c r="AP93" s="80"/>
      <c r="AQ93" s="80"/>
      <c r="AR93" s="80"/>
      <c r="BA93" s="80"/>
      <c r="BB93" s="80"/>
      <c r="BC93" s="80"/>
      <c r="BD93" s="80"/>
      <c r="BE93" s="80"/>
    </row>
    <row r="94" spans="1:108" ht="14.5" x14ac:dyDescent="0.35">
      <c r="B94" s="2" t="s">
        <v>307</v>
      </c>
      <c r="C94" s="6">
        <v>0.4</v>
      </c>
      <c r="D94" s="9">
        <v>0</v>
      </c>
      <c r="E94" s="6">
        <f>D94/D95</f>
        <v>0</v>
      </c>
      <c r="F94" s="1">
        <v>7</v>
      </c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9">
        <f>R93*$D$87*$D$86</f>
        <v>89.579520000000016</v>
      </c>
      <c r="U94" s="9">
        <f>S93*$D$87*$D$86</f>
        <v>358.31808000000007</v>
      </c>
      <c r="V94" s="9">
        <f>T93*$D$87*$D$86</f>
        <v>89.579520000000016</v>
      </c>
      <c r="AO94" s="89"/>
      <c r="BA94" s="80"/>
      <c r="BB94" s="80"/>
      <c r="BC94" s="80"/>
      <c r="BD94" s="80"/>
      <c r="BE94" s="80"/>
    </row>
    <row r="95" spans="1:108" ht="14.5" x14ac:dyDescent="0.35">
      <c r="B95" s="2" t="s">
        <v>308</v>
      </c>
      <c r="C95" s="6"/>
      <c r="D95" s="77">
        <f>SUM(D89:D94)</f>
        <v>777.48720000000003</v>
      </c>
      <c r="F95" s="1">
        <v>8</v>
      </c>
      <c r="G95" s="2"/>
      <c r="H95" s="2"/>
      <c r="I95" s="2"/>
      <c r="J95" s="2"/>
      <c r="K95" s="2"/>
      <c r="L95" s="2"/>
      <c r="M95" s="2"/>
      <c r="N95" s="2"/>
      <c r="V95" s="9">
        <f>T94*$D$87*$D$86</f>
        <v>107.49542400000003</v>
      </c>
      <c r="W95" s="9">
        <f>U94*$D$87*$D$86</f>
        <v>429.98169600000011</v>
      </c>
      <c r="X95" s="9">
        <f>V94*$D$87*$D$86</f>
        <v>107.49542400000003</v>
      </c>
      <c r="AO95" s="89"/>
      <c r="BA95" s="80"/>
      <c r="BB95" s="80"/>
      <c r="BC95" s="80"/>
      <c r="BD95" s="80"/>
      <c r="BE95" s="80"/>
    </row>
    <row r="96" spans="1:108" ht="14.5" x14ac:dyDescent="0.35">
      <c r="C96" s="6"/>
      <c r="D96" s="9"/>
      <c r="F96" s="1">
        <v>9</v>
      </c>
      <c r="G96" s="2"/>
      <c r="H96" s="2"/>
      <c r="I96" s="2"/>
      <c r="J96" s="2"/>
      <c r="K96" s="2"/>
      <c r="L96" s="2"/>
      <c r="M96" s="2"/>
      <c r="N96" s="2"/>
      <c r="X96" s="9">
        <f>V95*$D$87*$D$86</f>
        <v>128.99450880000003</v>
      </c>
      <c r="Y96" s="9">
        <f>W95*$D$87*$D$86</f>
        <v>515.97803520000014</v>
      </c>
      <c r="Z96" s="9">
        <f>X95*$D$87*$D$86</f>
        <v>128.99450880000003</v>
      </c>
      <c r="AO96" s="89"/>
      <c r="BA96" s="80"/>
      <c r="BB96" s="80"/>
      <c r="BC96" s="80"/>
      <c r="BD96" s="80"/>
      <c r="BE96" s="80"/>
    </row>
    <row r="97" spans="2:57" ht="14.5" x14ac:dyDescent="0.35">
      <c r="B97" s="2" t="s">
        <v>309</v>
      </c>
      <c r="C97" s="6">
        <v>-0.08</v>
      </c>
      <c r="D97" s="9">
        <f>(1-C97)*(R93+R92+Q92/5)</f>
        <v>201.55392000000003</v>
      </c>
      <c r="E97" s="6">
        <f>D97/$D103</f>
        <v>0.13788555491061447</v>
      </c>
      <c r="F97" s="1">
        <v>10</v>
      </c>
      <c r="G97" s="2"/>
      <c r="H97" s="2"/>
      <c r="I97" s="2"/>
      <c r="J97" s="2"/>
      <c r="K97" s="2"/>
      <c r="L97" s="2"/>
      <c r="M97" s="2"/>
      <c r="N97" s="2"/>
      <c r="Z97" s="9">
        <f>X96*$D$87*$D$86</f>
        <v>154.79341056000004</v>
      </c>
      <c r="AA97" s="9">
        <f>Y96*$D$87*$D$86</f>
        <v>619.17364224000016</v>
      </c>
      <c r="AB97" s="9">
        <f>Z96*$D$87*$D$86</f>
        <v>154.79341056000004</v>
      </c>
      <c r="AO97" s="89"/>
      <c r="BA97" s="80"/>
      <c r="BB97" s="80"/>
      <c r="BC97" s="80"/>
      <c r="BD97" s="80"/>
      <c r="BE97" s="80"/>
    </row>
    <row r="98" spans="2:57" ht="14.5" x14ac:dyDescent="0.35">
      <c r="B98" s="2" t="s">
        <v>310</v>
      </c>
      <c r="C98" s="6">
        <v>-2.1000000000000001E-2</v>
      </c>
      <c r="D98" s="9">
        <f>(1-C98)*(Q92*4/5)</f>
        <v>203.2459776</v>
      </c>
      <c r="E98" s="6">
        <f>D98/$D103</f>
        <v>0.13904311265554306</v>
      </c>
      <c r="F98" s="1">
        <v>11</v>
      </c>
      <c r="G98" s="2"/>
      <c r="H98" s="2"/>
      <c r="I98" s="2"/>
      <c r="J98" s="2"/>
      <c r="K98" s="2"/>
      <c r="L98" s="2"/>
      <c r="M98" s="2"/>
      <c r="N98" s="2"/>
      <c r="AB98" s="9">
        <f>Z97*$D$87*$D$86</f>
        <v>185.75209267200006</v>
      </c>
      <c r="AC98" s="9">
        <f>AA97*$D$87*$D$86</f>
        <v>743.00837068800024</v>
      </c>
      <c r="AD98" s="9">
        <f>AB97*$D$87*$D$86</f>
        <v>185.75209267200006</v>
      </c>
      <c r="AO98" s="90"/>
      <c r="BA98" s="80"/>
      <c r="BB98" s="80"/>
      <c r="BC98" s="80"/>
      <c r="BD98" s="80"/>
      <c r="BE98" s="80"/>
    </row>
    <row r="99" spans="2:57" ht="14.5" x14ac:dyDescent="0.35">
      <c r="B99" s="2" t="s">
        <v>311</v>
      </c>
      <c r="C99" s="6">
        <v>0</v>
      </c>
      <c r="D99" s="9">
        <f>(1-C99)*(P91+P92+O91)</f>
        <v>321.40800000000002</v>
      </c>
      <c r="E99" s="6">
        <f>D99/$D103</f>
        <v>0.21987922850972466</v>
      </c>
      <c r="F99" s="1">
        <v>12</v>
      </c>
      <c r="G99" s="2"/>
      <c r="H99" s="2"/>
      <c r="I99" s="2"/>
      <c r="J99" s="2"/>
      <c r="K99" s="2"/>
      <c r="L99" s="2"/>
      <c r="M99" s="2"/>
      <c r="N99" s="2"/>
      <c r="AD99" s="9">
        <f>AB98*$D$87*$D$86</f>
        <v>222.90251120640008</v>
      </c>
      <c r="AE99" s="9">
        <f>AC98*$D$87*$D$86</f>
        <v>891.61004482560031</v>
      </c>
      <c r="AF99" s="9">
        <f>AD98*$D$87*$D$86</f>
        <v>222.90251120640008</v>
      </c>
      <c r="AO99" s="89"/>
      <c r="BA99" s="80"/>
      <c r="BB99" s="80"/>
      <c r="BC99" s="80"/>
      <c r="BD99" s="80"/>
      <c r="BE99" s="80"/>
    </row>
    <row r="100" spans="2:57" ht="14.5" x14ac:dyDescent="0.35">
      <c r="B100" s="2" t="s">
        <v>312</v>
      </c>
      <c r="C100" s="6">
        <v>0</v>
      </c>
      <c r="D100" s="9">
        <f>(1-C100)*(N90+N91+M90+L90+L89)</f>
        <v>347.04</v>
      </c>
      <c r="E100" s="6">
        <f>D100/$D103</f>
        <v>0.2374143999589769</v>
      </c>
      <c r="F100" s="1">
        <v>13</v>
      </c>
      <c r="G100" s="2"/>
      <c r="H100" s="2"/>
      <c r="I100" s="2"/>
      <c r="J100" s="2"/>
      <c r="K100" s="2"/>
      <c r="L100" s="2"/>
      <c r="M100" s="2"/>
      <c r="N100" s="2"/>
      <c r="AF100" s="9">
        <f>AD99*$D$87*$D$86</f>
        <v>267.48301344768009</v>
      </c>
      <c r="AG100" s="9">
        <f>AE99*$D$87*$D$86</f>
        <v>1069.9320537907204</v>
      </c>
      <c r="AH100" s="9">
        <f>AF99*$D$87*$D$86</f>
        <v>267.48301344768009</v>
      </c>
      <c r="AO100" s="89"/>
      <c r="BA100" s="80"/>
      <c r="BB100" s="80"/>
      <c r="BC100" s="80"/>
      <c r="BD100" s="80"/>
      <c r="BE100" s="80"/>
    </row>
    <row r="101" spans="2:57" ht="14.5" x14ac:dyDescent="0.35">
      <c r="B101" s="2" t="s">
        <v>313</v>
      </c>
      <c r="C101" s="6">
        <v>0.15</v>
      </c>
      <c r="D101" s="9">
        <f>(1-C101)*(K89+J89+J88+I88)</f>
        <v>280.5</v>
      </c>
      <c r="E101" s="6">
        <f>D101/$D103</f>
        <v>0.19189355460031415</v>
      </c>
      <c r="F101" s="1">
        <v>14</v>
      </c>
      <c r="G101" s="2"/>
      <c r="H101" s="2"/>
      <c r="I101" s="2"/>
      <c r="J101" s="2"/>
      <c r="K101" s="2"/>
      <c r="L101" s="2"/>
      <c r="M101" s="2"/>
      <c r="N101" s="2"/>
      <c r="AH101" s="9">
        <f>AF100*$D$87*$D$86</f>
        <v>320.97961613721611</v>
      </c>
      <c r="AI101" s="9">
        <f>AG100*$D$87*$D$86</f>
        <v>1283.9184645488644</v>
      </c>
      <c r="AJ101" s="9">
        <f>AH100*$D$87*$D$86</f>
        <v>320.97961613721611</v>
      </c>
      <c r="AO101" s="89"/>
      <c r="BA101" s="80"/>
      <c r="BB101" s="80"/>
      <c r="BC101" s="80"/>
      <c r="BD101" s="80"/>
      <c r="BE101" s="80"/>
    </row>
    <row r="102" spans="2:57" ht="14.5" x14ac:dyDescent="0.35">
      <c r="B102" s="2" t="s">
        <v>314</v>
      </c>
      <c r="C102" s="6">
        <v>0.4</v>
      </c>
      <c r="D102" s="9">
        <f>(1-C102)*(G87+H88)</f>
        <v>108</v>
      </c>
      <c r="E102" s="6">
        <f>D102/$D103</f>
        <v>7.3884149364826832E-2</v>
      </c>
      <c r="F102" s="1">
        <v>15</v>
      </c>
      <c r="G102" s="2"/>
      <c r="H102" s="2"/>
      <c r="I102" s="2"/>
      <c r="J102" s="2"/>
      <c r="K102" s="2"/>
      <c r="L102" s="2"/>
      <c r="M102" s="2"/>
      <c r="N102" s="2"/>
      <c r="AJ102" s="9">
        <f>AH101*$D$87*$D$86</f>
        <v>385.17553936465936</v>
      </c>
      <c r="AK102" s="9">
        <f>AI101*$D$87*$D$86</f>
        <v>1540.7021574586374</v>
      </c>
      <c r="AL102" s="9">
        <f>AJ101*$D$87*$D$86</f>
        <v>385.17553936465936</v>
      </c>
      <c r="AO102" s="89"/>
      <c r="BA102" s="80"/>
      <c r="BB102" s="80"/>
      <c r="BC102" s="80"/>
      <c r="BD102" s="80"/>
      <c r="BE102" s="80"/>
    </row>
    <row r="103" spans="2:57" ht="14.5" x14ac:dyDescent="0.35">
      <c r="B103" s="2" t="s">
        <v>315</v>
      </c>
      <c r="C103" s="6"/>
      <c r="D103" s="77">
        <f>SUM(D97:D102)</f>
        <v>1461.7478976</v>
      </c>
      <c r="F103" s="1">
        <v>16</v>
      </c>
      <c r="G103" s="2"/>
      <c r="H103" s="2"/>
      <c r="I103" s="2"/>
      <c r="J103" s="2"/>
      <c r="K103" s="2"/>
      <c r="L103" s="2"/>
      <c r="M103" s="2"/>
      <c r="N103" s="2"/>
      <c r="AL103" s="9">
        <f>AJ102*$D$87*$D$86</f>
        <v>462.21064723759116</v>
      </c>
      <c r="AM103" s="9">
        <f>AK102*$D$87*$D$86</f>
        <v>1848.8425889503646</v>
      </c>
      <c r="AN103" s="9">
        <f>AL102*$D$87*$D$86</f>
        <v>462.21064723759116</v>
      </c>
      <c r="AO103" s="89"/>
      <c r="BA103" s="80"/>
      <c r="BB103" s="80"/>
      <c r="BC103" s="80"/>
      <c r="BD103" s="80"/>
      <c r="BE103" s="80"/>
    </row>
    <row r="104" spans="2:57" ht="14.5" x14ac:dyDescent="0.35">
      <c r="B104" s="2"/>
      <c r="C104" s="6"/>
      <c r="D104" s="77"/>
      <c r="F104" s="90">
        <v>17</v>
      </c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>
        <f>AL103*$D$87*$D$86</f>
        <v>554.65277668510942</v>
      </c>
      <c r="AO104" s="90">
        <f>AM103*$D$87*$D$86</f>
        <v>2218.6111067404377</v>
      </c>
      <c r="AP104" s="9">
        <f>AN103*$D$87*$D$86</f>
        <v>554.65277668510942</v>
      </c>
      <c r="BA104" s="80"/>
      <c r="BB104" s="80"/>
      <c r="BC104" s="80"/>
      <c r="BD104" s="80"/>
      <c r="BE104" s="80"/>
    </row>
    <row r="105" spans="2:57" ht="14.5" x14ac:dyDescent="0.35">
      <c r="B105" s="2" t="s">
        <v>316</v>
      </c>
      <c r="C105" s="6">
        <v>-0.08</v>
      </c>
      <c r="D105" s="4">
        <f>(1-C105)*(AO104)</f>
        <v>2396.0999952796728</v>
      </c>
      <c r="E105" s="6">
        <f>D105/$D111</f>
        <v>0.18112140167794286</v>
      </c>
      <c r="G105" s="2"/>
      <c r="H105" s="2"/>
      <c r="I105" s="2"/>
      <c r="J105" s="2"/>
      <c r="K105" s="2"/>
      <c r="L105" s="2"/>
      <c r="M105" s="2"/>
      <c r="N105" s="2"/>
      <c r="AP105" s="9"/>
      <c r="AQ105" s="9"/>
      <c r="AR105" s="9"/>
      <c r="BA105" s="80"/>
      <c r="BB105" s="80"/>
      <c r="BC105" s="80"/>
      <c r="BD105" s="80"/>
      <c r="BE105" s="80"/>
    </row>
    <row r="106" spans="2:57" ht="14.5" x14ac:dyDescent="0.35">
      <c r="B106" s="2" t="s">
        <v>317</v>
      </c>
      <c r="C106" s="6">
        <v>-2.1000000000000001E-2</v>
      </c>
      <c r="D106" s="4">
        <f>(1-C106)*(AN103+AN104)</f>
        <v>1038.2175558250772</v>
      </c>
      <c r="E106" s="6">
        <f>D106/$D111</f>
        <v>7.8478953018710496E-2</v>
      </c>
      <c r="G106" s="2"/>
      <c r="H106" s="2"/>
      <c r="I106" s="2"/>
      <c r="J106" s="2"/>
      <c r="K106" s="2"/>
      <c r="L106" s="2"/>
      <c r="M106" s="2"/>
      <c r="N106" s="2"/>
      <c r="AP106" s="9"/>
      <c r="AQ106" s="9"/>
      <c r="AR106" s="9"/>
      <c r="BA106" s="80"/>
      <c r="BB106" s="80"/>
      <c r="BC106" s="80"/>
      <c r="BD106" s="80"/>
      <c r="BE106" s="80"/>
    </row>
    <row r="107" spans="2:57" ht="14.5" x14ac:dyDescent="0.35">
      <c r="B107" s="2" t="s">
        <v>318</v>
      </c>
      <c r="C107" s="6">
        <v>0</v>
      </c>
      <c r="D107" s="4">
        <f>(1-C107)*(AM103+AL103+AL102+AK102)</f>
        <v>4236.9309330112528</v>
      </c>
      <c r="E107" s="6">
        <f>D107/$D111</f>
        <v>0.32026996824481924</v>
      </c>
      <c r="G107" s="2"/>
      <c r="H107" s="2"/>
      <c r="I107" s="2"/>
      <c r="J107" s="2"/>
      <c r="K107" s="2"/>
      <c r="L107" s="2"/>
      <c r="M107" s="2"/>
      <c r="N107" s="2"/>
      <c r="AP107" s="9"/>
      <c r="AQ107" s="9"/>
      <c r="AR107" s="9"/>
      <c r="BA107" s="80"/>
      <c r="BB107" s="80"/>
      <c r="BC107" s="80"/>
      <c r="BD107" s="80"/>
      <c r="BE107" s="80"/>
    </row>
    <row r="108" spans="2:57" ht="14.5" x14ac:dyDescent="0.35">
      <c r="B108" s="2" t="s">
        <v>319</v>
      </c>
      <c r="C108" s="6">
        <v>0</v>
      </c>
      <c r="D108" s="4">
        <f>(1-C108)*(AJ102+AJ101+AI101+AH101+AH100)</f>
        <v>2578.5362496356361</v>
      </c>
      <c r="E108" s="6">
        <f>D108/$D111</f>
        <v>0.19491177360353898</v>
      </c>
      <c r="G108" s="2"/>
      <c r="H108" s="2"/>
      <c r="I108" s="2"/>
      <c r="J108" s="2"/>
      <c r="K108" s="2"/>
      <c r="L108" s="2"/>
      <c r="M108" s="2"/>
      <c r="N108" s="2"/>
      <c r="AP108" s="9"/>
      <c r="AQ108" s="9"/>
      <c r="AR108" s="9"/>
      <c r="BA108" s="80"/>
      <c r="BB108" s="80"/>
      <c r="BC108" s="80"/>
      <c r="BD108" s="80"/>
      <c r="BE108" s="80"/>
    </row>
    <row r="109" spans="2:57" ht="14.5" x14ac:dyDescent="0.35">
      <c r="B109" s="2" t="s">
        <v>320</v>
      </c>
      <c r="C109" s="6">
        <v>0.15</v>
      </c>
      <c r="D109" s="4">
        <f>(1-C109)*(AG100+AF100+AF99+AE99)</f>
        <v>2084.138479779841</v>
      </c>
      <c r="E109" s="6">
        <f>D109/$D111</f>
        <v>0.15754020428709281</v>
      </c>
      <c r="G109" s="2"/>
      <c r="H109" s="2"/>
      <c r="I109" s="2"/>
      <c r="J109" s="2"/>
      <c r="K109" s="2"/>
      <c r="L109" s="2"/>
      <c r="M109" s="2"/>
      <c r="N109" s="2"/>
      <c r="AP109" s="9"/>
      <c r="AQ109" s="9"/>
      <c r="AR109" s="9"/>
      <c r="BA109" s="80"/>
      <c r="BB109" s="80"/>
      <c r="BC109" s="80"/>
      <c r="BD109" s="80"/>
      <c r="BE109" s="80"/>
    </row>
    <row r="110" spans="2:57" ht="14.5" x14ac:dyDescent="0.35">
      <c r="B110" s="2" t="s">
        <v>321</v>
      </c>
      <c r="C110" s="6">
        <v>0.4</v>
      </c>
      <c r="D110" s="4">
        <f>(1-C110)*(AD99+AD98+AC98+AB98+AB97)</f>
        <v>895.32508667904028</v>
      </c>
      <c r="E110" s="6">
        <f>D110/$D111</f>
        <v>6.7677699167895483E-2</v>
      </c>
      <c r="G110" s="2"/>
      <c r="H110" s="2"/>
      <c r="I110" s="2"/>
      <c r="J110" s="2"/>
      <c r="K110" s="2"/>
      <c r="L110" s="2"/>
      <c r="M110" s="2"/>
      <c r="N110" s="2"/>
      <c r="AP110" s="9"/>
      <c r="AQ110" s="9"/>
      <c r="AR110" s="9"/>
      <c r="BA110" s="80"/>
      <c r="BB110" s="80"/>
      <c r="BC110" s="80"/>
      <c r="BD110" s="80"/>
      <c r="BE110" s="80"/>
    </row>
    <row r="111" spans="2:57" ht="14.5" x14ac:dyDescent="0.35">
      <c r="B111" s="2" t="s">
        <v>322</v>
      </c>
      <c r="C111" s="6"/>
      <c r="D111" s="93">
        <f>SUM(D105:D110)</f>
        <v>13229.248300210522</v>
      </c>
      <c r="G111" s="2"/>
      <c r="H111" s="2"/>
      <c r="I111" s="2"/>
      <c r="J111" s="2"/>
      <c r="K111" s="2"/>
      <c r="L111" s="2"/>
      <c r="M111" s="2"/>
      <c r="N111" s="2"/>
      <c r="AP111" s="9"/>
      <c r="AQ111" s="9"/>
      <c r="AR111" s="9"/>
      <c r="BA111" s="80"/>
      <c r="BB111" s="80"/>
      <c r="BC111" s="80"/>
      <c r="BD111" s="80"/>
      <c r="BE111" s="80"/>
    </row>
    <row r="112" spans="2:57" ht="14.5" x14ac:dyDescent="0.35">
      <c r="B112" s="2"/>
      <c r="C112" s="6"/>
      <c r="D112" s="93"/>
      <c r="G112" s="2"/>
      <c r="H112" s="2"/>
      <c r="I112" s="2"/>
      <c r="J112" s="2"/>
      <c r="K112" s="2"/>
      <c r="L112" s="2"/>
      <c r="M112" s="2"/>
      <c r="N112" s="2"/>
      <c r="AP112" s="9"/>
      <c r="AQ112" s="9"/>
      <c r="AR112" s="9"/>
      <c r="BA112" s="80"/>
      <c r="BB112" s="80"/>
      <c r="BC112" s="80"/>
      <c r="BD112" s="80"/>
      <c r="BE112" s="80"/>
    </row>
    <row r="113" spans="2:57" ht="14.5" x14ac:dyDescent="0.35">
      <c r="B113" s="2" t="s">
        <v>350</v>
      </c>
      <c r="C113" s="2" t="s">
        <v>349</v>
      </c>
      <c r="D113" s="93" t="s">
        <v>8</v>
      </c>
      <c r="G113" s="2"/>
      <c r="H113" s="2"/>
      <c r="I113" s="2"/>
      <c r="J113" s="2"/>
      <c r="K113" s="2"/>
      <c r="L113" s="2"/>
      <c r="M113" s="2"/>
      <c r="N113" s="2"/>
      <c r="AP113" s="9"/>
      <c r="AQ113" s="9"/>
      <c r="AR113" s="9"/>
      <c r="BA113" s="80"/>
      <c r="BB113" s="80"/>
      <c r="BC113" s="80"/>
      <c r="BD113" s="80"/>
      <c r="BE113" s="80"/>
    </row>
    <row r="114" spans="2:57" ht="14.5" x14ac:dyDescent="0.35">
      <c r="B114" s="2">
        <v>200</v>
      </c>
      <c r="C114" s="88" t="str">
        <f>ROUND((B114-$M$5)/$N$5+0.5,1) &amp;" to "&amp; ROUND(B114/$N$5-0.5,1)</f>
        <v>-3 to 2.3</v>
      </c>
      <c r="D114" s="93">
        <f>SUMPRODUCT($G$87*($D$86*$D$87)^({1,2,2.3}))</f>
        <v>624.1435131828797</v>
      </c>
      <c r="G114" s="2"/>
      <c r="H114" s="2"/>
      <c r="I114" s="2"/>
      <c r="J114" s="2"/>
      <c r="K114" s="2"/>
      <c r="L114" s="2"/>
      <c r="M114" s="2"/>
      <c r="N114" s="2"/>
      <c r="AP114" s="9"/>
      <c r="AQ114" s="9"/>
      <c r="AR114" s="9"/>
      <c r="BA114" s="80"/>
      <c r="BB114" s="80"/>
      <c r="BC114" s="80"/>
      <c r="BD114" s="80"/>
      <c r="BE114" s="80"/>
    </row>
    <row r="115" spans="2:57" ht="14.5" x14ac:dyDescent="0.35">
      <c r="B115" s="2">
        <v>400</v>
      </c>
      <c r="C115" s="88" t="str">
        <f>ROUND((B115-$M$5)/$N$5+0.5,1) &amp;" to "&amp; ROUND(B115/$N$5-0.5,1)</f>
        <v>-0.2 to 5.1</v>
      </c>
      <c r="D115" s="93">
        <f>SUMPRODUCT($G$87*($D$86*$D$87)^({1,2,3,4,5.1}))</f>
        <v>1346.3555303481244</v>
      </c>
      <c r="G115" s="2"/>
      <c r="H115" s="2"/>
      <c r="I115" s="2"/>
      <c r="J115" s="2"/>
      <c r="K115" s="2"/>
      <c r="L115" s="2"/>
      <c r="M115" s="2"/>
      <c r="N115" s="2"/>
      <c r="BA115" s="80"/>
      <c r="BB115" s="80"/>
      <c r="BC115" s="80"/>
      <c r="BD115" s="80"/>
      <c r="BE115" s="80"/>
    </row>
    <row r="116" spans="2:57" ht="14.5" x14ac:dyDescent="0.35">
      <c r="B116" s="2">
        <v>1200</v>
      </c>
      <c r="C116" s="88" t="str">
        <f>ROUND((B116-$M$5)/$N$5+0.5,1) &amp;" to "&amp; ROUND(B116/$N$5-0.5,1)</f>
        <v>11.1 to 16.4</v>
      </c>
      <c r="D116" s="93">
        <f>SUMPRODUCT($G$87*($D$86*$D$87)^({11.1,12.1,13.1,14.1,15.1,16.1,16.4}))</f>
        <v>14253.71850894692</v>
      </c>
      <c r="G116" s="2"/>
      <c r="H116" s="2"/>
      <c r="I116" s="2"/>
      <c r="J116" s="2"/>
      <c r="K116" s="2"/>
      <c r="L116" s="2"/>
      <c r="M116" s="2"/>
      <c r="N116" s="2"/>
      <c r="BA116" s="80"/>
      <c r="BB116" s="80"/>
      <c r="BC116" s="80"/>
      <c r="BD116" s="80"/>
      <c r="BE116" s="80"/>
    </row>
    <row r="117" spans="2:57" ht="14.5" x14ac:dyDescent="0.35">
      <c r="B117" s="2">
        <v>3800</v>
      </c>
      <c r="C117" s="88" t="str">
        <f>ROUND((B117-$M$5)/$N$5+0.5,1) &amp;" to "&amp; ROUND(B117/$N$5-0.5,1)</f>
        <v>47.7 to 53</v>
      </c>
      <c r="D117" s="93">
        <f>SUMPRODUCT($G$87*($D$86*$D$87)^({47.7,48.7,49.7,50.7,51.7,52.7,53}))</f>
        <v>11270982.700004213</v>
      </c>
      <c r="G117" s="2"/>
      <c r="H117" s="2"/>
      <c r="I117" s="2"/>
      <c r="J117" s="2"/>
      <c r="K117" s="2"/>
      <c r="L117" s="2"/>
      <c r="M117" s="2"/>
      <c r="N117" s="2"/>
      <c r="BA117" s="80"/>
      <c r="BB117" s="80"/>
      <c r="BC117" s="80"/>
      <c r="BD117" s="80"/>
      <c r="BE117" s="80"/>
    </row>
    <row r="118" spans="2:57" ht="14.5" x14ac:dyDescent="0.35">
      <c r="B118" s="2"/>
      <c r="C118" s="88"/>
      <c r="D118" s="93"/>
      <c r="G118" s="2"/>
      <c r="H118" s="2"/>
      <c r="I118" s="2"/>
      <c r="J118" s="2"/>
      <c r="K118" s="2"/>
      <c r="L118" s="2"/>
      <c r="M118" s="2"/>
      <c r="N118" s="2"/>
      <c r="BA118" s="80"/>
      <c r="BB118" s="80"/>
      <c r="BC118" s="80"/>
      <c r="BD118" s="80"/>
      <c r="BE118" s="80"/>
    </row>
    <row r="119" spans="2:57" ht="14.5" x14ac:dyDescent="0.35">
      <c r="C119" s="9">
        <f>100*D85</f>
        <v>400</v>
      </c>
      <c r="G119" s="2"/>
      <c r="H119" s="2"/>
      <c r="I119" s="2"/>
      <c r="J119" s="2"/>
      <c r="K119" s="2"/>
      <c r="L119" s="2"/>
      <c r="M119" s="2"/>
      <c r="N119" s="2"/>
      <c r="BA119" s="80"/>
      <c r="BB119" s="80"/>
      <c r="BC119" s="80"/>
      <c r="BD119" s="80"/>
      <c r="BE119" s="80"/>
    </row>
    <row r="120" spans="2:57" ht="14.5" x14ac:dyDescent="0.35">
      <c r="B120" s="2" t="s">
        <v>278</v>
      </c>
      <c r="C120" s="9">
        <f>C119*(1+C89)</f>
        <v>368</v>
      </c>
      <c r="D120" s="2" t="str">
        <f>ROUND((1-C89)*C119-C119,0)&amp;" die as children"</f>
        <v>32 die as children</v>
      </c>
      <c r="E120" s="6">
        <f>(C119-C120)/C119</f>
        <v>0.08</v>
      </c>
      <c r="G120" s="2"/>
      <c r="H120" s="2"/>
      <c r="I120" s="2"/>
      <c r="J120" s="2"/>
      <c r="K120" s="2"/>
      <c r="L120" s="2"/>
      <c r="M120" s="2"/>
      <c r="N120" s="2"/>
      <c r="BA120" s="80"/>
      <c r="BB120" s="80"/>
      <c r="BC120" s="80"/>
      <c r="BD120" s="80"/>
      <c r="BE120" s="80"/>
    </row>
    <row r="121" spans="2:57" ht="14.5" x14ac:dyDescent="0.35">
      <c r="B121" s="2" t="s">
        <v>383</v>
      </c>
      <c r="C121" s="9">
        <f>C120*(1+C90)</f>
        <v>360.27199999999999</v>
      </c>
      <c r="D121" s="2" t="str">
        <f>ROUND((1-C90)*C120-C120,0)&amp;" die before being able to procreate"</f>
        <v>8 die before being able to procreate</v>
      </c>
      <c r="E121" s="6">
        <f>(C120-C121)/C119</f>
        <v>1.9320000000000021E-2</v>
      </c>
      <c r="G121" s="2"/>
      <c r="H121" s="2"/>
      <c r="I121" s="2"/>
      <c r="J121" s="2"/>
      <c r="K121" s="2"/>
      <c r="L121" s="2"/>
      <c r="M121" s="2"/>
      <c r="N121" s="2"/>
      <c r="BA121" s="80"/>
      <c r="BB121" s="80"/>
      <c r="BC121" s="80"/>
      <c r="BD121" s="80"/>
      <c r="BE121" s="80"/>
    </row>
    <row r="122" spans="2:57" ht="14.5" x14ac:dyDescent="0.35">
      <c r="B122" s="2" t="s">
        <v>384</v>
      </c>
      <c r="C122" s="9">
        <f>C121</f>
        <v>360.27199999999999</v>
      </c>
      <c r="D122" s="2" t="str">
        <f>ROUND(C122-(1-C91)*C122,0)&amp;" die before being mature"</f>
        <v>0 die before being mature</v>
      </c>
      <c r="E122" s="6">
        <f>(C121-C122)/C119</f>
        <v>0</v>
      </c>
      <c r="G122" s="2"/>
      <c r="H122" s="2"/>
      <c r="I122" s="2"/>
      <c r="J122" s="2"/>
      <c r="K122" s="2"/>
      <c r="L122" s="2"/>
      <c r="M122" s="2"/>
      <c r="N122" s="2"/>
      <c r="BA122" s="80"/>
      <c r="BB122" s="80"/>
      <c r="BC122" s="80"/>
      <c r="BD122" s="80"/>
      <c r="BE122" s="80"/>
    </row>
    <row r="123" spans="2:57" ht="14.5" x14ac:dyDescent="0.35">
      <c r="B123" s="2" t="s">
        <v>280</v>
      </c>
      <c r="C123" s="9">
        <f>C122*(1-C91)</f>
        <v>360.27199999999999</v>
      </c>
      <c r="D123" s="2" t="str">
        <f>ROUND(C123-(1-C92)*C123,0)&amp;" die before being middle-age"</f>
        <v>0 die before being middle-age</v>
      </c>
      <c r="E123" s="6">
        <f>(C123-C124)/C119</f>
        <v>0</v>
      </c>
      <c r="G123" s="2"/>
      <c r="H123" s="2"/>
      <c r="I123" s="2"/>
      <c r="J123" s="2"/>
      <c r="K123" s="2"/>
      <c r="L123" s="2"/>
      <c r="M123" s="2"/>
      <c r="N123" s="2"/>
      <c r="BA123" s="80"/>
      <c r="BB123" s="80"/>
      <c r="BC123" s="80"/>
      <c r="BD123" s="80"/>
      <c r="BE123" s="80"/>
    </row>
    <row r="124" spans="2:57" ht="14.5" x14ac:dyDescent="0.35">
      <c r="B124" s="2" t="s">
        <v>281</v>
      </c>
      <c r="C124" s="9">
        <f t="shared" ref="C124:C126" si="37">C123*(1-C92)</f>
        <v>360.27199999999999</v>
      </c>
      <c r="D124" s="2" t="str">
        <f>ROUND(C124-(1-C93)*C124,0)&amp;" die before being old"</f>
        <v>54 die before being old</v>
      </c>
      <c r="E124" s="6">
        <f>(C124-C125)/C119</f>
        <v>0.13510199999999997</v>
      </c>
      <c r="G124" s="2"/>
      <c r="H124" s="2"/>
      <c r="I124" s="2"/>
      <c r="J124" s="2"/>
      <c r="K124" s="2"/>
      <c r="L124" s="2"/>
      <c r="M124" s="2"/>
      <c r="N124" s="2"/>
      <c r="BA124" s="80"/>
      <c r="BB124" s="80"/>
      <c r="BC124" s="80"/>
      <c r="BD124" s="80"/>
      <c r="BE124" s="80"/>
    </row>
    <row r="125" spans="2:57" ht="14.5" x14ac:dyDescent="0.35">
      <c r="B125" s="2" t="s">
        <v>375</v>
      </c>
      <c r="C125" s="9">
        <f t="shared" si="37"/>
        <v>306.2312</v>
      </c>
      <c r="D125" s="2" t="str">
        <f>ROUND(C125-(1-C94)*C125,0)&amp;" die before being venerable"</f>
        <v>122 die before being venerable</v>
      </c>
      <c r="E125" s="6">
        <f>(C125-C126)/C119</f>
        <v>0.30623119999999998</v>
      </c>
      <c r="G125" s="2"/>
      <c r="H125" s="2"/>
      <c r="I125" s="2"/>
      <c r="J125" s="2"/>
      <c r="K125" s="2"/>
      <c r="L125" s="2"/>
      <c r="M125" s="2"/>
      <c r="N125" s="2"/>
      <c r="BA125" s="80"/>
      <c r="BB125" s="80"/>
      <c r="BC125" s="80"/>
      <c r="BD125" s="80"/>
      <c r="BE125" s="80"/>
    </row>
    <row r="126" spans="2:57" x14ac:dyDescent="0.25">
      <c r="B126" s="2" t="s">
        <v>283</v>
      </c>
      <c r="C126" s="9">
        <f t="shared" si="37"/>
        <v>183.73872</v>
      </c>
      <c r="E126" s="6">
        <f>C126/C119</f>
        <v>0.4593468</v>
      </c>
    </row>
    <row r="128" spans="2:57" ht="14.5" x14ac:dyDescent="0.35">
      <c r="B128" s="8"/>
      <c r="C128" s="8"/>
      <c r="D128" s="8"/>
      <c r="G128" s="2"/>
      <c r="H128" s="2"/>
      <c r="I128" s="2"/>
      <c r="J128" s="2"/>
      <c r="K128" s="2"/>
      <c r="L128" s="2"/>
      <c r="M128" s="2"/>
      <c r="N128" s="2"/>
      <c r="BA128" s="80"/>
      <c r="BB128" s="80"/>
      <c r="BC128" s="80"/>
      <c r="BD128" s="80"/>
      <c r="BE128" s="80"/>
    </row>
    <row r="129" spans="1:102" ht="15.5" x14ac:dyDescent="0.35">
      <c r="A129" s="11" t="s">
        <v>113</v>
      </c>
      <c r="B129" s="1" t="s">
        <v>329</v>
      </c>
      <c r="D129" s="1">
        <v>3.9</v>
      </c>
      <c r="E129" s="84"/>
      <c r="G129" s="76" t="s">
        <v>331</v>
      </c>
      <c r="M129" s="2"/>
      <c r="N129" s="2"/>
      <c r="BA129" s="80"/>
      <c r="BB129" s="80"/>
      <c r="BC129" s="80"/>
      <c r="BD129" s="80"/>
      <c r="BE129" s="80"/>
    </row>
    <row r="130" spans="1:102" ht="15.5" x14ac:dyDescent="0.35">
      <c r="B130" s="1" t="s">
        <v>330</v>
      </c>
      <c r="D130" s="1">
        <v>3.7</v>
      </c>
      <c r="E130" s="6">
        <f>D130/D129</f>
        <v>0.94871794871794879</v>
      </c>
      <c r="F130" s="76" t="s">
        <v>301</v>
      </c>
      <c r="G130" s="85">
        <v>0</v>
      </c>
      <c r="H130" s="86">
        <f>G130+$N$7/5</f>
        <v>50</v>
      </c>
      <c r="I130" s="86">
        <f t="shared" ref="I130:BT130" si="38">H130+$N$7/5</f>
        <v>100</v>
      </c>
      <c r="J130" s="86">
        <f t="shared" si="38"/>
        <v>150</v>
      </c>
      <c r="K130" s="86">
        <f t="shared" si="38"/>
        <v>200</v>
      </c>
      <c r="L130" s="86">
        <f t="shared" si="38"/>
        <v>250</v>
      </c>
      <c r="M130" s="86">
        <f t="shared" si="38"/>
        <v>300</v>
      </c>
      <c r="N130" s="86">
        <f t="shared" si="38"/>
        <v>350</v>
      </c>
      <c r="O130" s="86">
        <f t="shared" si="38"/>
        <v>400</v>
      </c>
      <c r="P130" s="86">
        <f t="shared" si="38"/>
        <v>450</v>
      </c>
      <c r="Q130" s="86">
        <f t="shared" si="38"/>
        <v>500</v>
      </c>
      <c r="R130" s="86">
        <f t="shared" si="38"/>
        <v>550</v>
      </c>
      <c r="S130" s="86">
        <f t="shared" si="38"/>
        <v>600</v>
      </c>
      <c r="T130" s="86">
        <f t="shared" si="38"/>
        <v>650</v>
      </c>
      <c r="U130" s="86">
        <f t="shared" si="38"/>
        <v>700</v>
      </c>
      <c r="V130" s="86">
        <f t="shared" si="38"/>
        <v>750</v>
      </c>
      <c r="W130" s="86">
        <f t="shared" si="38"/>
        <v>800</v>
      </c>
      <c r="X130" s="86">
        <f t="shared" si="38"/>
        <v>850</v>
      </c>
      <c r="Y130" s="86">
        <f t="shared" si="38"/>
        <v>900</v>
      </c>
      <c r="Z130" s="86">
        <f t="shared" si="38"/>
        <v>950</v>
      </c>
      <c r="AA130" s="86">
        <f t="shared" si="38"/>
        <v>1000</v>
      </c>
      <c r="AB130" s="86">
        <f t="shared" si="38"/>
        <v>1050</v>
      </c>
      <c r="AC130" s="86">
        <f t="shared" si="38"/>
        <v>1100</v>
      </c>
      <c r="AD130" s="86">
        <f t="shared" si="38"/>
        <v>1150</v>
      </c>
      <c r="AE130" s="86">
        <f t="shared" si="38"/>
        <v>1200</v>
      </c>
      <c r="AF130" s="86">
        <f t="shared" si="38"/>
        <v>1250</v>
      </c>
      <c r="AG130" s="86">
        <f t="shared" si="38"/>
        <v>1300</v>
      </c>
      <c r="AH130" s="86">
        <f t="shared" si="38"/>
        <v>1350</v>
      </c>
      <c r="AI130" s="86">
        <f t="shared" si="38"/>
        <v>1400</v>
      </c>
      <c r="AJ130" s="86">
        <f t="shared" si="38"/>
        <v>1450</v>
      </c>
      <c r="AK130" s="86">
        <f t="shared" si="38"/>
        <v>1500</v>
      </c>
      <c r="AL130" s="86">
        <f t="shared" si="38"/>
        <v>1550</v>
      </c>
      <c r="AM130" s="86">
        <f t="shared" si="38"/>
        <v>1600</v>
      </c>
      <c r="AN130" s="86">
        <f t="shared" si="38"/>
        <v>1650</v>
      </c>
      <c r="AO130" s="86">
        <f t="shared" si="38"/>
        <v>1700</v>
      </c>
      <c r="AP130" s="86">
        <f t="shared" si="38"/>
        <v>1750</v>
      </c>
      <c r="AQ130" s="86">
        <f t="shared" si="38"/>
        <v>1800</v>
      </c>
      <c r="AR130" s="86">
        <f t="shared" si="38"/>
        <v>1850</v>
      </c>
      <c r="AS130" s="86">
        <f t="shared" si="38"/>
        <v>1900</v>
      </c>
      <c r="AT130" s="86">
        <f t="shared" si="38"/>
        <v>1950</v>
      </c>
      <c r="AU130" s="86">
        <f t="shared" si="38"/>
        <v>2000</v>
      </c>
      <c r="AV130" s="86">
        <f t="shared" si="38"/>
        <v>2050</v>
      </c>
      <c r="AW130" s="86">
        <f t="shared" si="38"/>
        <v>2100</v>
      </c>
      <c r="AX130" s="86">
        <f t="shared" si="38"/>
        <v>2150</v>
      </c>
      <c r="AY130" s="86">
        <f t="shared" si="38"/>
        <v>2200</v>
      </c>
      <c r="AZ130" s="86">
        <f t="shared" si="38"/>
        <v>2250</v>
      </c>
      <c r="BA130" s="86">
        <f t="shared" si="38"/>
        <v>2300</v>
      </c>
      <c r="BB130" s="86">
        <f t="shared" si="38"/>
        <v>2350</v>
      </c>
      <c r="BC130" s="86">
        <f t="shared" si="38"/>
        <v>2400</v>
      </c>
      <c r="BD130" s="86">
        <f t="shared" si="38"/>
        <v>2450</v>
      </c>
      <c r="BE130" s="86">
        <f t="shared" si="38"/>
        <v>2500</v>
      </c>
      <c r="BF130" s="86">
        <f t="shared" si="38"/>
        <v>2550</v>
      </c>
      <c r="BG130" s="86">
        <f t="shared" si="38"/>
        <v>2600</v>
      </c>
      <c r="BH130" s="86">
        <f t="shared" si="38"/>
        <v>2650</v>
      </c>
      <c r="BI130" s="86">
        <f t="shared" si="38"/>
        <v>2700</v>
      </c>
      <c r="BJ130" s="86">
        <f t="shared" si="38"/>
        <v>2750</v>
      </c>
      <c r="BK130" s="86">
        <f t="shared" si="38"/>
        <v>2800</v>
      </c>
      <c r="BL130" s="86">
        <f t="shared" si="38"/>
        <v>2850</v>
      </c>
      <c r="BM130" s="86">
        <f t="shared" si="38"/>
        <v>2900</v>
      </c>
      <c r="BN130" s="86">
        <f t="shared" si="38"/>
        <v>2950</v>
      </c>
      <c r="BO130" s="86">
        <f t="shared" si="38"/>
        <v>3000</v>
      </c>
      <c r="BP130" s="86">
        <f t="shared" si="38"/>
        <v>3050</v>
      </c>
      <c r="BQ130" s="86">
        <f t="shared" si="38"/>
        <v>3100</v>
      </c>
      <c r="BR130" s="86">
        <f t="shared" si="38"/>
        <v>3150</v>
      </c>
      <c r="BS130" s="86">
        <f t="shared" si="38"/>
        <v>3200</v>
      </c>
      <c r="BT130" s="86">
        <f t="shared" si="38"/>
        <v>3250</v>
      </c>
      <c r="BU130" s="86">
        <f t="shared" ref="BU130:CE130" si="39">BT130+$N$7/5</f>
        <v>3300</v>
      </c>
      <c r="BV130" s="86">
        <f t="shared" si="39"/>
        <v>3350</v>
      </c>
      <c r="BW130" s="86">
        <f t="shared" si="39"/>
        <v>3400</v>
      </c>
      <c r="BX130" s="86">
        <f t="shared" si="39"/>
        <v>3450</v>
      </c>
      <c r="BY130" s="86">
        <f t="shared" si="39"/>
        <v>3500</v>
      </c>
      <c r="BZ130" s="86">
        <f t="shared" si="39"/>
        <v>3550</v>
      </c>
      <c r="CA130" s="86">
        <f t="shared" si="39"/>
        <v>3600</v>
      </c>
      <c r="CB130" s="86">
        <f t="shared" si="39"/>
        <v>3650</v>
      </c>
      <c r="CC130" s="86">
        <f t="shared" si="39"/>
        <v>3700</v>
      </c>
      <c r="CD130" s="86">
        <f t="shared" si="39"/>
        <v>3750</v>
      </c>
      <c r="CE130" s="86">
        <f t="shared" si="39"/>
        <v>3800</v>
      </c>
      <c r="CF130" s="88"/>
      <c r="CG130" s="88"/>
      <c r="CH130" s="88"/>
      <c r="CI130" s="88"/>
      <c r="CJ130" s="88"/>
      <c r="CK130" s="88"/>
      <c r="CL130" s="88"/>
      <c r="CM130" s="88"/>
      <c r="CN130" s="88"/>
      <c r="CO130" s="88"/>
      <c r="CP130" s="88"/>
      <c r="CQ130" s="88"/>
      <c r="CR130" s="88"/>
      <c r="CS130" s="88"/>
      <c r="CT130" s="88"/>
      <c r="CU130" s="88"/>
      <c r="CV130" s="88"/>
      <c r="CW130" s="88"/>
      <c r="CX130" s="88"/>
    </row>
    <row r="131" spans="1:102" x14ac:dyDescent="0.25">
      <c r="B131" s="2" t="s">
        <v>390</v>
      </c>
      <c r="D131" s="1">
        <v>0.5</v>
      </c>
      <c r="F131" s="1">
        <v>0</v>
      </c>
      <c r="G131" s="9">
        <f>50/D131</f>
        <v>100</v>
      </c>
      <c r="H131" s="9"/>
      <c r="I131" s="9"/>
      <c r="J131" s="9"/>
      <c r="K131" s="82"/>
      <c r="L131" s="9"/>
      <c r="M131" s="9"/>
      <c r="N131" s="9"/>
      <c r="O131" s="95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8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CE131" s="91"/>
    </row>
    <row r="132" spans="1:102" x14ac:dyDescent="0.25">
      <c r="C132" s="2" t="s">
        <v>335</v>
      </c>
      <c r="F132" s="78">
        <v>1</v>
      </c>
      <c r="G132" s="82"/>
      <c r="H132" s="82"/>
      <c r="I132" s="82"/>
      <c r="J132" s="82">
        <f>G131*$D$131*$D$130/8</f>
        <v>23.125</v>
      </c>
      <c r="K132" s="82">
        <f>G131*$D$131*$D$130/4</f>
        <v>46.25</v>
      </c>
      <c r="L132" s="9">
        <f>G131*$D$131*$D$130/4</f>
        <v>46.25</v>
      </c>
      <c r="M132" s="9">
        <f>G131*$D$131*$D$130/4</f>
        <v>46.25</v>
      </c>
      <c r="N132" s="9">
        <f>G131*D$131*$D$130/8</f>
        <v>23.125</v>
      </c>
      <c r="O132" s="96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8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CE132" s="91"/>
    </row>
    <row r="133" spans="1:102" x14ac:dyDescent="0.25">
      <c r="B133" s="2" t="s">
        <v>302</v>
      </c>
      <c r="C133" s="6">
        <v>-5.1999999999999998E-2</v>
      </c>
      <c r="D133" s="9">
        <f>(1-C133)*(K132+J132)</f>
        <v>72.982500000000002</v>
      </c>
      <c r="E133" s="6">
        <f>D133/$D139</f>
        <v>0.42190684028731229</v>
      </c>
      <c r="F133" s="96">
        <v>2</v>
      </c>
      <c r="G133" s="95"/>
      <c r="H133" s="95"/>
      <c r="I133" s="95"/>
      <c r="J133" s="95"/>
      <c r="K133" s="95"/>
      <c r="L133" s="95"/>
      <c r="M133" s="95"/>
      <c r="N133" s="95">
        <f>J132*$D$131*$D$130/4</f>
        <v>10.6953125</v>
      </c>
      <c r="O133" s="95">
        <f>J132*$D$131*$D$130*3/4</f>
        <v>32.0859375</v>
      </c>
      <c r="P133" s="9">
        <f>K132*$D$131*$D$130</f>
        <v>85.5625</v>
      </c>
      <c r="Q133" s="9">
        <f>L132*$D$131*$D$130</f>
        <v>85.5625</v>
      </c>
      <c r="R133" s="9">
        <f>M132*$D$131*$D$130</f>
        <v>85.5625</v>
      </c>
      <c r="S133" s="9">
        <f>N132*$D$131*$D$130*3/4</f>
        <v>32.0859375</v>
      </c>
      <c r="T133" s="9">
        <f>N132*$D$131*$D$130/4</f>
        <v>10.6953125</v>
      </c>
      <c r="W133" s="9"/>
      <c r="X133" s="9"/>
      <c r="Y133" s="9"/>
      <c r="Z133" s="9"/>
      <c r="AA133" s="9"/>
      <c r="AB133" s="9"/>
      <c r="AC133" s="9"/>
      <c r="AD133" s="9"/>
      <c r="AE133" s="8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CE133" s="91"/>
    </row>
    <row r="134" spans="1:102" x14ac:dyDescent="0.25">
      <c r="B134" s="2" t="s">
        <v>303</v>
      </c>
      <c r="C134" s="6">
        <v>0</v>
      </c>
      <c r="D134" s="9">
        <v>0</v>
      </c>
      <c r="E134" s="6">
        <f>D134/D139</f>
        <v>0</v>
      </c>
      <c r="F134" s="1">
        <v>3</v>
      </c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>
        <f>O133*$D$131*$D$130/4</f>
        <v>14.839746093750001</v>
      </c>
      <c r="T134" s="9">
        <f>O133*$D$131*$D$130*3/4</f>
        <v>44.519238281250004</v>
      </c>
      <c r="U134" s="9">
        <f>P133*$D$131*$D$130</f>
        <v>158.29062500000001</v>
      </c>
      <c r="V134" s="9">
        <f>Q133*$D$131*$D$130</f>
        <v>158.29062500000001</v>
      </c>
      <c r="W134" s="9">
        <f>R133*$D$131*$D$130</f>
        <v>158.29062500000001</v>
      </c>
      <c r="X134" s="9">
        <f>S133*$D$131*$D$130*3/4</f>
        <v>44.519238281250004</v>
      </c>
      <c r="Y134" s="9">
        <f>S133*$D$131*$D$130/4</f>
        <v>14.839746093750001</v>
      </c>
      <c r="AA134" s="9"/>
      <c r="AB134" s="9"/>
      <c r="AC134" s="9"/>
      <c r="AD134" s="9"/>
      <c r="AE134" s="8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CE134" s="91"/>
    </row>
    <row r="135" spans="1:102" x14ac:dyDescent="0.25">
      <c r="B135" s="2" t="s">
        <v>304</v>
      </c>
      <c r="C135" s="6">
        <v>0</v>
      </c>
      <c r="D135" s="9">
        <f>(1-C135)*G131</f>
        <v>100</v>
      </c>
      <c r="E135" s="6">
        <f>D135/D139</f>
        <v>0.5780931597126876</v>
      </c>
      <c r="F135" s="1">
        <v>4</v>
      </c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>
        <f>T134*$D$131*$D$130/4</f>
        <v>20.590147705078127</v>
      </c>
      <c r="Y135" s="9">
        <f>T134*$D$131*$D$130*3/4</f>
        <v>61.770443115234386</v>
      </c>
      <c r="Z135" s="9">
        <f>U134*$D$131*$D$130</f>
        <v>292.83765625000001</v>
      </c>
      <c r="AA135" s="9">
        <f>V134*$D$131*$D$130</f>
        <v>292.83765625000001</v>
      </c>
      <c r="AB135" s="9">
        <f>W134*$D$131*$D$130</f>
        <v>292.83765625000001</v>
      </c>
      <c r="AC135" s="9">
        <f>X134*$D$131*$D$130*3/4</f>
        <v>61.770443115234386</v>
      </c>
      <c r="AD135" s="9">
        <f>X134*$D$131*$D$130/4</f>
        <v>20.590147705078127</v>
      </c>
      <c r="AE135" s="8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CE135" s="91"/>
    </row>
    <row r="136" spans="1:102" x14ac:dyDescent="0.25">
      <c r="B136" s="2" t="s">
        <v>305</v>
      </c>
      <c r="C136" s="6">
        <v>0</v>
      </c>
      <c r="D136" s="9">
        <v>0</v>
      </c>
      <c r="E136" s="6">
        <f>D136/D139</f>
        <v>0</v>
      </c>
      <c r="F136" s="90">
        <v>5</v>
      </c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  <c r="AA136" s="90"/>
      <c r="AB136" s="90"/>
      <c r="AC136" s="90">
        <f>Y135*$D$131*$D$130/4</f>
        <v>28.568829940795904</v>
      </c>
      <c r="AD136" s="90">
        <f>Y135*$D$131*$D$130*3/4</f>
        <v>85.706489822387709</v>
      </c>
      <c r="AE136" s="90">
        <f>Z135*$D$131*$D$130</f>
        <v>541.74966406250007</v>
      </c>
      <c r="AF136" s="9">
        <f>AA135*$D$131*$D$130</f>
        <v>541.74966406250007</v>
      </c>
      <c r="AG136" s="9">
        <f>AB135*$D$131*$D$130</f>
        <v>541.74966406250007</v>
      </c>
      <c r="AH136" s="9">
        <f>AC135*$D$131*$D$130*3/4</f>
        <v>85.706489822387709</v>
      </c>
      <c r="AI136" s="9">
        <f>AC135*$D$131*$D$130/4</f>
        <v>28.568829940795904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CE136" s="91"/>
    </row>
    <row r="137" spans="1:102" x14ac:dyDescent="0.25">
      <c r="B137" s="2" t="s">
        <v>306</v>
      </c>
      <c r="C137" s="6">
        <v>0.15</v>
      </c>
      <c r="D137" s="9">
        <v>0</v>
      </c>
      <c r="E137" s="6">
        <f>D137/D139</f>
        <v>0</v>
      </c>
      <c r="F137" s="1">
        <v>6</v>
      </c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>
        <f>AD136*$D$131*$D$130/4</f>
        <v>39.639251542854318</v>
      </c>
      <c r="AI137" s="9">
        <f>AD136*$D$131*$D$130*3/4</f>
        <v>118.91775462856296</v>
      </c>
      <c r="AJ137" s="9">
        <f>AE136*$D$131*$D$130</f>
        <v>1002.2368785156252</v>
      </c>
      <c r="AK137" s="9">
        <f>AF136*$D$131*$D$130</f>
        <v>1002.2368785156252</v>
      </c>
      <c r="AL137" s="9">
        <f>AG136*$D$131*$D$130</f>
        <v>1002.2368785156252</v>
      </c>
      <c r="AM137" s="9">
        <f>AH136*$D$131*$D$130*3/4</f>
        <v>118.91775462856296</v>
      </c>
      <c r="AN137" s="9">
        <f>AH136*$D$131*$D$130/4</f>
        <v>39.639251542854318</v>
      </c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CE137" s="91"/>
    </row>
    <row r="138" spans="1:102" x14ac:dyDescent="0.25">
      <c r="B138" s="2" t="s">
        <v>307</v>
      </c>
      <c r="C138" s="6">
        <v>0.4</v>
      </c>
      <c r="D138" s="9">
        <v>0</v>
      </c>
      <c r="E138" s="6">
        <f>D138/D139</f>
        <v>0</v>
      </c>
      <c r="F138" s="1">
        <v>7</v>
      </c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>
        <f>AI137*$D$131*$D$130/4</f>
        <v>54.999461515710372</v>
      </c>
      <c r="AN138" s="9">
        <f>AI137*$D$131*$D$130*3/4</f>
        <v>164.99838454713111</v>
      </c>
      <c r="AO138" s="9">
        <f>AJ137*$D$131*$D$130</f>
        <v>1854.1382252539067</v>
      </c>
      <c r="AP138" s="9">
        <f>AK137*$D$131*$D$130</f>
        <v>1854.1382252539067</v>
      </c>
      <c r="AQ138" s="9">
        <f>AL137*$D$131*$D$130</f>
        <v>1854.1382252539067</v>
      </c>
      <c r="AR138" s="9">
        <f>AM137*$D$131*$D$130*3/4</f>
        <v>164.99838454713111</v>
      </c>
      <c r="AS138" s="9">
        <f>AM137*$D$131*$D$130/4</f>
        <v>54.999461515710372</v>
      </c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CE138" s="91"/>
    </row>
    <row r="139" spans="1:102" x14ac:dyDescent="0.25">
      <c r="B139" s="2" t="s">
        <v>308</v>
      </c>
      <c r="C139" s="6"/>
      <c r="D139" s="77">
        <f>SUM(D133:D138)</f>
        <v>172.98250000000002</v>
      </c>
      <c r="F139" s="1">
        <v>8</v>
      </c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>
        <f>AN138*$D$131*$D$130/4</f>
        <v>76.311752853048148</v>
      </c>
      <c r="AS139" s="9">
        <f>AN138*$D$131*$D$130*3/4</f>
        <v>228.93525855914444</v>
      </c>
      <c r="AT139" s="9">
        <f>AO138*$D$131*$D$130</f>
        <v>3430.1557167197275</v>
      </c>
      <c r="AU139" s="9">
        <f>AP138*$D$131*$D$130</f>
        <v>3430.1557167197275</v>
      </c>
      <c r="AV139" s="9">
        <f>AQ138*$D$131*$D$130</f>
        <v>3430.1557167197275</v>
      </c>
      <c r="AW139" s="9">
        <f>AR138*$D$131*$D$130*3/4</f>
        <v>228.93525855914444</v>
      </c>
      <c r="AX139" s="9">
        <f>AR138*$D$131*$D$130/4</f>
        <v>76.311752853048148</v>
      </c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CE139" s="91"/>
    </row>
    <row r="140" spans="1:102" x14ac:dyDescent="0.25">
      <c r="B140" s="2"/>
      <c r="C140" s="6"/>
      <c r="D140" s="77"/>
      <c r="F140" s="1">
        <v>9</v>
      </c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>
        <f>AS139*$D$131*$D$130/4</f>
        <v>105.88255708360431</v>
      </c>
      <c r="AX140" s="9">
        <f>AS139*$D$131*$D$130*3/4</f>
        <v>317.64767125081295</v>
      </c>
      <c r="AY140" s="9">
        <f>AT139*$D$131*$D$130</f>
        <v>6345.7880759314958</v>
      </c>
      <c r="AZ140" s="9">
        <f>AU139*$D$131*$D$130</f>
        <v>6345.7880759314958</v>
      </c>
      <c r="BA140" s="9">
        <f>AV139*$D$131*$D$130</f>
        <v>6345.7880759314958</v>
      </c>
      <c r="BB140" s="9">
        <f>AW139*$D$131*$D$130*3/4</f>
        <v>317.64767125081295</v>
      </c>
      <c r="BC140" s="9">
        <f>AW139*$D$131*$D$130/4</f>
        <v>105.88255708360431</v>
      </c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CE140" s="91"/>
    </row>
    <row r="141" spans="1:102" x14ac:dyDescent="0.25">
      <c r="B141" s="2" t="s">
        <v>309</v>
      </c>
      <c r="C141" s="6">
        <v>-5.1999999999999998E-2</v>
      </c>
      <c r="D141" s="9">
        <f>(1-C141)*(O133+N133+N132+M132/2)</f>
        <v>93.660875000000004</v>
      </c>
      <c r="E141" s="6">
        <f>D141/$D147</f>
        <v>0.28176236713073843</v>
      </c>
      <c r="F141" s="1">
        <v>10</v>
      </c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77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>
        <f>AX140*$D$131*$D$130/4</f>
        <v>146.912047953501</v>
      </c>
      <c r="BC141" s="9">
        <f>AX140*$D$131*$D$130*3/4</f>
        <v>440.73614386050303</v>
      </c>
      <c r="BD141" s="9">
        <f>AY140*$D$131*$D$130</f>
        <v>11739.707940473269</v>
      </c>
      <c r="BE141" s="9">
        <f>AZ140*$D$131*$D$130</f>
        <v>11739.707940473269</v>
      </c>
      <c r="BF141" s="9">
        <f>BA140*$D$131*$D$130</f>
        <v>11739.707940473269</v>
      </c>
      <c r="BG141" s="9">
        <f>BB140*$D$131*$D$130*3/4</f>
        <v>440.73614386050303</v>
      </c>
      <c r="BH141" s="9">
        <f>BB140*$D$131*$D$130/4</f>
        <v>146.912047953501</v>
      </c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CE141" s="91"/>
    </row>
    <row r="142" spans="1:102" x14ac:dyDescent="0.25">
      <c r="B142" s="2" t="s">
        <v>310</v>
      </c>
      <c r="C142" s="6">
        <v>0</v>
      </c>
      <c r="D142" s="9">
        <f>(1-C142)*(M132/2+L132)</f>
        <v>69.375</v>
      </c>
      <c r="E142" s="6">
        <f>D142/$D147</f>
        <v>0.20870255824211525</v>
      </c>
      <c r="F142" s="1">
        <v>11</v>
      </c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BA142" s="9"/>
      <c r="BB142" s="9"/>
      <c r="BC142" s="9"/>
      <c r="BD142" s="9"/>
      <c r="BE142" s="9"/>
      <c r="BF142" s="9"/>
      <c r="BG142" s="9">
        <f>BC141*$D$131*$D$130/4</f>
        <v>203.84046653548268</v>
      </c>
      <c r="BH142" s="9">
        <f>BC141*$D$131*$D$130*3/4</f>
        <v>611.52139960644809</v>
      </c>
      <c r="BI142" s="9">
        <f>BD141*$D$131*$D$130</f>
        <v>21718.459689875548</v>
      </c>
      <c r="BJ142" s="9">
        <f>BE141*$D$131*$D$130</f>
        <v>21718.459689875548</v>
      </c>
      <c r="BK142" s="9">
        <f>BF141*$D$131*$D$130</f>
        <v>21718.459689875548</v>
      </c>
      <c r="BL142" s="9">
        <f>BG141*$D$131*$D$130*3/4</f>
        <v>611.52139960644809</v>
      </c>
      <c r="BM142" s="9">
        <f>BG141*$D$131*$D$130/4</f>
        <v>203.84046653548268</v>
      </c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CE142" s="91"/>
    </row>
    <row r="143" spans="1:102" x14ac:dyDescent="0.25">
      <c r="B143" s="2" t="s">
        <v>311</v>
      </c>
      <c r="C143" s="6">
        <v>0</v>
      </c>
      <c r="D143" s="9">
        <f>(1-C143)*(K132+J132+G131)</f>
        <v>169.375</v>
      </c>
      <c r="E143" s="6">
        <f>D143/$D147</f>
        <v>0.5095350746271462</v>
      </c>
      <c r="F143" s="1">
        <v>12</v>
      </c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BL143" s="9">
        <f>BH142*$D$131*$D$130/4</f>
        <v>282.82864731798225</v>
      </c>
      <c r="BM143" s="9">
        <f>BH142*$D$131*$D$130*3/4</f>
        <v>848.48594195394674</v>
      </c>
      <c r="BN143" s="9">
        <f>BI142*$D$131*$D$130</f>
        <v>40179.150426269764</v>
      </c>
      <c r="BO143" s="9">
        <f>BJ142*$D$131*$D$130</f>
        <v>40179.150426269764</v>
      </c>
      <c r="BP143" s="9">
        <f>BK142*$D$131*$D$130</f>
        <v>40179.150426269764</v>
      </c>
      <c r="BQ143" s="9">
        <f>BL142*$D$131*$D$130*3/4</f>
        <v>848.48594195394674</v>
      </c>
      <c r="BR143" s="9">
        <f>BL142*$D$131*$D$130/4</f>
        <v>282.82864731798225</v>
      </c>
      <c r="BV143" s="9"/>
      <c r="BW143" s="9"/>
      <c r="BX143" s="9"/>
      <c r="BY143" s="9"/>
      <c r="BZ143" s="9"/>
      <c r="CA143" s="9"/>
      <c r="CB143" s="9"/>
      <c r="CC143" s="9"/>
      <c r="CD143" s="9"/>
      <c r="CE143" s="92"/>
    </row>
    <row r="144" spans="1:102" x14ac:dyDescent="0.25">
      <c r="B144" s="2" t="s">
        <v>312</v>
      </c>
      <c r="C144" s="6">
        <v>0</v>
      </c>
      <c r="D144" s="9">
        <v>0</v>
      </c>
      <c r="E144" s="6">
        <f>D144/$D147</f>
        <v>0</v>
      </c>
      <c r="F144" s="1">
        <v>13</v>
      </c>
      <c r="P144" s="2" t="s">
        <v>357</v>
      </c>
      <c r="BN144" s="9"/>
      <c r="BO144" s="9"/>
      <c r="BP144" s="9"/>
      <c r="BQ144" s="9">
        <f>BM143*$D$131*$D$130/4</f>
        <v>392.42474815370036</v>
      </c>
      <c r="BR144" s="9">
        <f>BM143*$D$131*$D$130*3/4</f>
        <v>1177.274244461101</v>
      </c>
      <c r="BS144" s="9">
        <f>BN143*$D$131*$D$130</f>
        <v>74331.428288599069</v>
      </c>
      <c r="BT144" s="9">
        <f>BO143*$D$131*$D$130</f>
        <v>74331.428288599069</v>
      </c>
      <c r="BU144" s="9">
        <f>BP143*$D$131*$D$130</f>
        <v>74331.428288599069</v>
      </c>
      <c r="BV144" s="9">
        <f>BQ143*$D$131*$D$130*3/4</f>
        <v>1177.274244461101</v>
      </c>
      <c r="BW144" s="9">
        <f>BQ143*$D$131*$D$130/4</f>
        <v>392.42474815370036</v>
      </c>
      <c r="CB144" s="9"/>
      <c r="CC144" s="9"/>
      <c r="CD144" s="9"/>
      <c r="CE144" s="92"/>
      <c r="CF144" s="9"/>
      <c r="CG144" s="9"/>
      <c r="CH144" s="9"/>
      <c r="CI144" s="9"/>
      <c r="CJ144" s="9"/>
      <c r="CK144" s="9"/>
    </row>
    <row r="145" spans="2:107" x14ac:dyDescent="0.25">
      <c r="B145" s="2" t="s">
        <v>313</v>
      </c>
      <c r="C145" s="6">
        <v>0.15</v>
      </c>
      <c r="D145" s="9">
        <v>0</v>
      </c>
      <c r="E145" s="6">
        <f>D145/$D147</f>
        <v>0</v>
      </c>
      <c r="F145" s="1">
        <v>14</v>
      </c>
      <c r="BN145" s="9"/>
      <c r="BO145" s="9"/>
      <c r="BP145" s="9"/>
      <c r="BQ145" s="9"/>
      <c r="BV145" s="9">
        <f>BR144*$D$131*$D$130/4</f>
        <v>544.48933806325931</v>
      </c>
      <c r="BW145" s="9">
        <f>BR144*$D$131*$D$130*3/4</f>
        <v>1633.4680141897779</v>
      </c>
      <c r="BX145" s="9">
        <f>BS144*$D$131*$D$130</f>
        <v>137513.1423339083</v>
      </c>
      <c r="BY145" s="9">
        <f>BT144*$D$131*$D$130</f>
        <v>137513.1423339083</v>
      </c>
      <c r="BZ145" s="9">
        <f>BU144*$D$131*$D$130</f>
        <v>137513.1423339083</v>
      </c>
      <c r="CA145" s="9">
        <f>BV144*$D$131*$D$130*3/4</f>
        <v>1633.4680141897779</v>
      </c>
      <c r="CB145" s="9">
        <f>BV144*$D$131*$D$130/4</f>
        <v>544.48933806325931</v>
      </c>
      <c r="CE145" s="91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Y145" s="9"/>
      <c r="CZ145" s="9"/>
      <c r="DA145" s="9"/>
      <c r="DB145" s="9"/>
      <c r="DC145" s="9"/>
    </row>
    <row r="146" spans="2:107" x14ac:dyDescent="0.25">
      <c r="B146" s="2" t="s">
        <v>314</v>
      </c>
      <c r="C146" s="6">
        <v>0.4</v>
      </c>
      <c r="D146" s="9">
        <v>0</v>
      </c>
      <c r="E146" s="6">
        <f>D146/$D147</f>
        <v>0</v>
      </c>
      <c r="F146" s="91">
        <v>15</v>
      </c>
      <c r="G146" s="91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  <c r="X146" s="91"/>
      <c r="Y146" s="91"/>
      <c r="Z146" s="91"/>
      <c r="AA146" s="91"/>
      <c r="AB146" s="91"/>
      <c r="AC146" s="91"/>
      <c r="AD146" s="91"/>
      <c r="AE146" s="91"/>
      <c r="AF146" s="91"/>
      <c r="AG146" s="91"/>
      <c r="AH146" s="91"/>
      <c r="AI146" s="91"/>
      <c r="AJ146" s="91"/>
      <c r="AK146" s="91"/>
      <c r="AL146" s="91"/>
      <c r="AM146" s="91"/>
      <c r="AN146" s="91"/>
      <c r="AO146" s="91"/>
      <c r="AP146" s="91"/>
      <c r="AQ146" s="91"/>
      <c r="AR146" s="91"/>
      <c r="AS146" s="91"/>
      <c r="AT146" s="91"/>
      <c r="AU146" s="91"/>
      <c r="AV146" s="91"/>
      <c r="AW146" s="91"/>
      <c r="AX146" s="91"/>
      <c r="AY146" s="91"/>
      <c r="AZ146" s="91"/>
      <c r="BA146" s="91"/>
      <c r="BB146" s="91"/>
      <c r="BC146" s="91"/>
      <c r="BD146" s="91"/>
      <c r="BE146" s="91"/>
      <c r="BF146" s="91"/>
      <c r="BG146" s="91"/>
      <c r="BH146" s="91"/>
      <c r="BI146" s="91"/>
      <c r="BJ146" s="91"/>
      <c r="BK146" s="91"/>
      <c r="BL146" s="91"/>
      <c r="BM146" s="91"/>
      <c r="BN146" s="92"/>
      <c r="BO146" s="92"/>
      <c r="BP146" s="92"/>
      <c r="BQ146" s="92"/>
      <c r="BR146" s="91"/>
      <c r="BS146" s="91"/>
      <c r="BT146" s="91"/>
      <c r="BU146" s="91"/>
      <c r="BV146" s="91"/>
      <c r="BW146" s="91"/>
      <c r="BX146" s="91"/>
      <c r="BY146" s="91"/>
      <c r="BZ146" s="91"/>
      <c r="CA146" s="92">
        <f>BW145*$D$131*$D$130/4</f>
        <v>755.47895656277228</v>
      </c>
      <c r="CB146" s="92">
        <f>BW145*$D$131*$D$130*3/4</f>
        <v>2266.4368696883166</v>
      </c>
      <c r="CC146" s="92">
        <f>BX145*$D$131*$D$130</f>
        <v>254399.31331773035</v>
      </c>
      <c r="CD146" s="92">
        <f>BY145*$D$131*$D$130</f>
        <v>254399.31331773035</v>
      </c>
      <c r="CE146" s="92">
        <f>BZ145*$D$131*$D$130</f>
        <v>254399.31331773035</v>
      </c>
      <c r="CF146" s="9">
        <f>CA145*$D$131*$D$130*3/4</f>
        <v>2266.4368696883166</v>
      </c>
      <c r="CG146" s="9">
        <f>CA145*$D$131*$D$130/4</f>
        <v>755.47895656277228</v>
      </c>
      <c r="CN146" s="9"/>
      <c r="CO146" s="9"/>
      <c r="CP146" s="9"/>
      <c r="CQ146" s="9"/>
      <c r="CR146" s="9"/>
      <c r="CS146" s="9"/>
      <c r="CT146" s="9"/>
      <c r="CU146" s="9"/>
      <c r="CV146" s="9"/>
      <c r="CW146" s="9"/>
    </row>
    <row r="147" spans="2:107" x14ac:dyDescent="0.25">
      <c r="B147" s="2" t="s">
        <v>315</v>
      </c>
      <c r="C147" s="2"/>
      <c r="D147" s="77">
        <f>SUM(D141:D146)</f>
        <v>332.41087500000003</v>
      </c>
      <c r="CT147" s="9"/>
      <c r="CU147" s="9"/>
      <c r="CV147" s="9"/>
      <c r="CW147" s="9"/>
      <c r="CX147" s="9"/>
    </row>
    <row r="148" spans="2:107" x14ac:dyDescent="0.25">
      <c r="B148" s="2"/>
      <c r="C148" s="2"/>
      <c r="D148" s="77"/>
    </row>
    <row r="149" spans="2:107" x14ac:dyDescent="0.25">
      <c r="B149" s="2" t="s">
        <v>316</v>
      </c>
      <c r="C149" s="6">
        <v>-5.1999999999999998E-2</v>
      </c>
      <c r="D149" s="4">
        <f>(1-C149)*(AE136+AD136+AD135+AC135/2+AC136/2)</f>
        <v>729.26316690011606</v>
      </c>
      <c r="E149" s="6">
        <f>D149/$D155</f>
        <v>0.25001608840782863</v>
      </c>
    </row>
    <row r="150" spans="2:107" ht="15.5" x14ac:dyDescent="0.35">
      <c r="B150" s="2" t="s">
        <v>317</v>
      </c>
      <c r="C150" s="6">
        <v>0</v>
      </c>
      <c r="D150" s="4">
        <f>(1-C150)*(AC135/2+AC136/2+AB135)</f>
        <v>338.00729277801514</v>
      </c>
      <c r="E150" s="6">
        <f>D150/$D155</f>
        <v>0.11588033652226622</v>
      </c>
      <c r="G150" s="76" t="s">
        <v>331</v>
      </c>
    </row>
    <row r="151" spans="2:107" ht="15.5" x14ac:dyDescent="0.35">
      <c r="B151" s="2" t="s">
        <v>318</v>
      </c>
      <c r="C151" s="6">
        <v>0</v>
      </c>
      <c r="D151" s="4">
        <f>(1-C151)*(AA135+Z135+Y135+Y134+X134+X135+W134+V134+U134+T133/2+T134/2)</f>
        <v>1229.8740380859376</v>
      </c>
      <c r="E151" s="6">
        <f>D151/$D155</f>
        <v>0.42164243333943435</v>
      </c>
      <c r="F151" s="76" t="s">
        <v>301</v>
      </c>
      <c r="G151" s="85">
        <v>0</v>
      </c>
      <c r="H151" s="86">
        <f>G151+$N$7/2</f>
        <v>125</v>
      </c>
      <c r="I151" s="86">
        <f t="shared" ref="I151:BC151" si="40">H151+$N$7/2</f>
        <v>250</v>
      </c>
      <c r="J151" s="86">
        <f t="shared" si="40"/>
        <v>375</v>
      </c>
      <c r="K151" s="86">
        <f t="shared" si="40"/>
        <v>500</v>
      </c>
      <c r="L151" s="86">
        <f t="shared" si="40"/>
        <v>625</v>
      </c>
      <c r="M151" s="86">
        <f t="shared" si="40"/>
        <v>750</v>
      </c>
      <c r="N151" s="86">
        <f t="shared" si="40"/>
        <v>875</v>
      </c>
      <c r="O151" s="86">
        <f t="shared" si="40"/>
        <v>1000</v>
      </c>
      <c r="P151" s="86">
        <f t="shared" si="40"/>
        <v>1125</v>
      </c>
      <c r="Q151" s="86">
        <f t="shared" si="40"/>
        <v>1250</v>
      </c>
      <c r="R151" s="86">
        <f t="shared" si="40"/>
        <v>1375</v>
      </c>
      <c r="S151" s="86">
        <f t="shared" si="40"/>
        <v>1500</v>
      </c>
      <c r="T151" s="86">
        <f t="shared" si="40"/>
        <v>1625</v>
      </c>
      <c r="U151" s="86">
        <f t="shared" si="40"/>
        <v>1750</v>
      </c>
      <c r="V151" s="86">
        <f t="shared" si="40"/>
        <v>1875</v>
      </c>
      <c r="W151" s="86">
        <f t="shared" si="40"/>
        <v>2000</v>
      </c>
      <c r="X151" s="86">
        <f t="shared" si="40"/>
        <v>2125</v>
      </c>
      <c r="Y151" s="86">
        <f t="shared" si="40"/>
        <v>2250</v>
      </c>
      <c r="Z151" s="86">
        <f t="shared" si="40"/>
        <v>2375</v>
      </c>
      <c r="AA151" s="86">
        <f t="shared" si="40"/>
        <v>2500</v>
      </c>
      <c r="AB151" s="86">
        <f t="shared" si="40"/>
        <v>2625</v>
      </c>
      <c r="AC151" s="86">
        <f t="shared" si="40"/>
        <v>2750</v>
      </c>
      <c r="AD151" s="86">
        <f t="shared" si="40"/>
        <v>2875</v>
      </c>
      <c r="AE151" s="86">
        <f t="shared" si="40"/>
        <v>3000</v>
      </c>
      <c r="AF151" s="86">
        <f t="shared" si="40"/>
        <v>3125</v>
      </c>
      <c r="AG151" s="86">
        <f t="shared" si="40"/>
        <v>3250</v>
      </c>
      <c r="AH151" s="86">
        <f t="shared" si="40"/>
        <v>3375</v>
      </c>
      <c r="AI151" s="86">
        <f t="shared" si="40"/>
        <v>3500</v>
      </c>
      <c r="AJ151" s="86">
        <f t="shared" si="40"/>
        <v>3625</v>
      </c>
      <c r="AK151" s="86">
        <f t="shared" si="40"/>
        <v>3750</v>
      </c>
      <c r="AL151" s="86">
        <f t="shared" si="40"/>
        <v>3875</v>
      </c>
      <c r="AM151" s="86">
        <f t="shared" si="40"/>
        <v>4000</v>
      </c>
      <c r="AN151" s="86">
        <f t="shared" si="40"/>
        <v>4125</v>
      </c>
      <c r="AO151" s="86">
        <f t="shared" si="40"/>
        <v>4250</v>
      </c>
      <c r="AP151" s="86">
        <f t="shared" si="40"/>
        <v>4375</v>
      </c>
      <c r="AQ151" s="86">
        <f t="shared" si="40"/>
        <v>4500</v>
      </c>
      <c r="AR151" s="86">
        <f t="shared" si="40"/>
        <v>4625</v>
      </c>
      <c r="AS151" s="86">
        <f t="shared" si="40"/>
        <v>4750</v>
      </c>
      <c r="AT151" s="86">
        <f t="shared" si="40"/>
        <v>4875</v>
      </c>
      <c r="AU151" s="86">
        <f t="shared" si="40"/>
        <v>5000</v>
      </c>
      <c r="AV151" s="86">
        <f t="shared" si="40"/>
        <v>5125</v>
      </c>
      <c r="AW151" s="86">
        <f t="shared" si="40"/>
        <v>5250</v>
      </c>
      <c r="AX151" s="86">
        <f t="shared" si="40"/>
        <v>5375</v>
      </c>
      <c r="AY151" s="86">
        <f t="shared" si="40"/>
        <v>5500</v>
      </c>
      <c r="AZ151" s="86">
        <f t="shared" si="40"/>
        <v>5625</v>
      </c>
      <c r="BA151" s="86">
        <f t="shared" si="40"/>
        <v>5750</v>
      </c>
      <c r="BB151" s="86">
        <f t="shared" si="40"/>
        <v>5875</v>
      </c>
      <c r="BC151" s="86">
        <f t="shared" si="40"/>
        <v>6000</v>
      </c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</row>
    <row r="152" spans="2:107" x14ac:dyDescent="0.25">
      <c r="B152" s="2" t="s">
        <v>319</v>
      </c>
      <c r="C152" s="6">
        <v>0</v>
      </c>
      <c r="D152" s="4">
        <f>(1-C152)*(T133/2+T134/2+S133+S134+R133+Q133+P133+O133+N133+N132)</f>
        <v>397.126708984375</v>
      </c>
      <c r="E152" s="6">
        <f>D152/$D155</f>
        <v>0.13614847271745809</v>
      </c>
      <c r="F152" s="1">
        <v>0</v>
      </c>
      <c r="G152" s="9">
        <f>50/D131</f>
        <v>100</v>
      </c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C152" s="101"/>
    </row>
    <row r="153" spans="2:107" x14ac:dyDescent="0.25">
      <c r="B153" s="2" t="s">
        <v>320</v>
      </c>
      <c r="C153" s="6">
        <v>0.15</v>
      </c>
      <c r="D153" s="4">
        <f>(1-C153)*(M132+L132+K132+J132+G131)</f>
        <v>222.59375</v>
      </c>
      <c r="E153" s="6">
        <f>D153/$D155</f>
        <v>7.631266901301284E-2</v>
      </c>
      <c r="F153" s="1">
        <v>1</v>
      </c>
      <c r="G153" s="9"/>
      <c r="H153" s="9">
        <f>G152/2*$D$130/4</f>
        <v>46.25</v>
      </c>
      <c r="I153" s="9">
        <f>G152/2*$D$130/2</f>
        <v>92.5</v>
      </c>
      <c r="J153" s="9">
        <f>G152/2*$D$130/4</f>
        <v>46.25</v>
      </c>
      <c r="K153" s="9"/>
      <c r="L153" s="9"/>
      <c r="M153" s="9"/>
      <c r="N153" s="9"/>
      <c r="O153" s="9"/>
      <c r="P153" s="9"/>
      <c r="Q153" s="77" t="s">
        <v>358</v>
      </c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C153" s="101"/>
    </row>
    <row r="154" spans="2:107" x14ac:dyDescent="0.25">
      <c r="B154" s="2" t="s">
        <v>321</v>
      </c>
      <c r="C154" s="6">
        <v>0.4</v>
      </c>
      <c r="D154" s="4">
        <v>0</v>
      </c>
      <c r="E154" s="6">
        <f>D154/$D155</f>
        <v>0</v>
      </c>
      <c r="F154" s="1">
        <v>2</v>
      </c>
      <c r="G154" s="9"/>
      <c r="H154" s="9"/>
      <c r="I154" s="9"/>
      <c r="J154" s="9">
        <f>H153/2*$D$130</f>
        <v>85.5625</v>
      </c>
      <c r="K154" s="9">
        <f t="shared" ref="K154:L154" si="41">I153/2*$D$130</f>
        <v>171.125</v>
      </c>
      <c r="L154" s="9">
        <f t="shared" si="41"/>
        <v>85.5625</v>
      </c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C154" s="101"/>
    </row>
    <row r="155" spans="2:107" x14ac:dyDescent="0.25">
      <c r="B155" s="2" t="s">
        <v>322</v>
      </c>
      <c r="C155" s="6"/>
      <c r="D155" s="93">
        <f>SUM(D149:D154)</f>
        <v>2916.8649567484435</v>
      </c>
      <c r="F155" s="1">
        <v>3</v>
      </c>
      <c r="G155" s="9"/>
      <c r="H155" s="9"/>
      <c r="I155" s="9"/>
      <c r="J155" s="9"/>
      <c r="K155" s="9"/>
      <c r="L155" s="9">
        <f>J154/2*$D$130</f>
        <v>158.29062500000001</v>
      </c>
      <c r="M155" s="9">
        <f t="shared" ref="M155" si="42">K154/2*$D$130</f>
        <v>316.58125000000001</v>
      </c>
      <c r="N155" s="9">
        <f t="shared" ref="N155" si="43">L154/2*$D$130</f>
        <v>158.29062500000001</v>
      </c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C155" s="101"/>
    </row>
    <row r="156" spans="2:107" x14ac:dyDescent="0.25">
      <c r="B156" s="2"/>
      <c r="C156" s="2"/>
      <c r="D156" s="4"/>
      <c r="F156" s="1">
        <v>4</v>
      </c>
      <c r="G156" s="9"/>
      <c r="H156" s="9"/>
      <c r="I156" s="9"/>
      <c r="J156" s="9"/>
      <c r="K156" s="9"/>
      <c r="L156" s="9"/>
      <c r="M156" s="9"/>
      <c r="N156" s="9">
        <f>L155/2*$D$130</f>
        <v>292.83765625000001</v>
      </c>
      <c r="O156" s="9">
        <f t="shared" ref="O156" si="44">M155/2*$D$130</f>
        <v>585.67531250000002</v>
      </c>
      <c r="P156" s="9">
        <f t="shared" ref="P156" si="45">N155/2*$D$130</f>
        <v>292.83765625000001</v>
      </c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C156" s="101"/>
    </row>
    <row r="157" spans="2:107" x14ac:dyDescent="0.25">
      <c r="B157" s="2" t="s">
        <v>342</v>
      </c>
      <c r="C157" s="6">
        <v>-5.1999999999999998E-2</v>
      </c>
      <c r="D157" s="4">
        <f>(1-C157)*(CE146+CD146)</f>
        <v>535256.15522050473</v>
      </c>
      <c r="E157" s="6">
        <f>D157/$D163</f>
        <v>0.32465650796901735</v>
      </c>
      <c r="F157" s="1">
        <v>5</v>
      </c>
      <c r="G157" s="9"/>
      <c r="H157" s="9"/>
      <c r="I157" s="9"/>
      <c r="J157" s="9"/>
      <c r="K157" s="9"/>
      <c r="L157" s="9"/>
      <c r="M157" s="9"/>
      <c r="N157" s="9"/>
      <c r="O157" s="9"/>
      <c r="P157" s="9">
        <f>N156/2*$D$130</f>
        <v>541.74966406250007</v>
      </c>
      <c r="Q157" s="9">
        <f t="shared" ref="Q157" si="46">O156/2*$D$130</f>
        <v>1083.4993281250001</v>
      </c>
      <c r="R157" s="9">
        <f t="shared" ref="R157" si="47">P156/2*$D$130</f>
        <v>541.74966406250007</v>
      </c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C157" s="101"/>
    </row>
    <row r="158" spans="2:107" x14ac:dyDescent="0.25">
      <c r="B158" s="2" t="s">
        <v>343</v>
      </c>
      <c r="C158" s="6">
        <v>0</v>
      </c>
      <c r="D158" s="4">
        <f>(1-C158)*(CC146+CB146+CB145)</f>
        <v>257210.23952548191</v>
      </c>
      <c r="E158" s="6">
        <f>D158/$D163</f>
        <v>0.15600937488297853</v>
      </c>
      <c r="F158" s="1">
        <v>6</v>
      </c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>
        <f>P157/2*$D$130</f>
        <v>1002.2368785156252</v>
      </c>
      <c r="S158" s="9">
        <f t="shared" ref="S158" si="48">Q157/2*$D$130</f>
        <v>2004.4737570312504</v>
      </c>
      <c r="T158" s="9">
        <f t="shared" ref="T158" si="49">R157/2*$D$130</f>
        <v>1002.2368785156252</v>
      </c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C158" s="101"/>
    </row>
    <row r="159" spans="2:107" x14ac:dyDescent="0.25">
      <c r="B159" s="2" t="s">
        <v>344</v>
      </c>
      <c r="C159" s="6">
        <v>0</v>
      </c>
      <c r="D159" s="4">
        <f>(1-C159)*(CA145+CA146+BZ145+BY145+BX145+BW144+BW145+BV144+BV145+BU144+BT144/2)</f>
        <v>530173.17275024392</v>
      </c>
      <c r="E159" s="6">
        <f>D159/$D163</f>
        <v>0.32157345451364366</v>
      </c>
      <c r="F159" s="1">
        <v>7</v>
      </c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>
        <f>R158/2*$D$130</f>
        <v>1854.1382252539067</v>
      </c>
      <c r="U159" s="9">
        <f t="shared" ref="U159" si="50">S158/2*$D$130</f>
        <v>3708.2764505078135</v>
      </c>
      <c r="V159" s="9">
        <f t="shared" ref="V159" si="51">T158/2*$D$130</f>
        <v>1854.1382252539067</v>
      </c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C159" s="101"/>
    </row>
    <row r="160" spans="2:107" x14ac:dyDescent="0.25">
      <c r="B160" s="2" t="s">
        <v>345</v>
      </c>
      <c r="C160" s="6">
        <v>0</v>
      </c>
      <c r="D160" s="4">
        <f>(1-C160)*(BT144/2+BS144+BR144+BR143+BQ143+BQ144+BP143+BO143+BN143)</f>
        <v>234735.60729359463</v>
      </c>
      <c r="E160" s="6">
        <f>D160/$D163</f>
        <v>0.14237751741225677</v>
      </c>
      <c r="F160" s="1">
        <v>8</v>
      </c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>
        <f>T159/2*$D$130</f>
        <v>3430.1557167197275</v>
      </c>
      <c r="W160" s="9">
        <f t="shared" ref="W160" si="52">U159/2*$D$130</f>
        <v>6860.311433439455</v>
      </c>
      <c r="X160" s="9">
        <f t="shared" ref="X160" si="53">V159/2*$D$130</f>
        <v>3430.1557167197275</v>
      </c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C160" s="101"/>
    </row>
    <row r="161" spans="2:56" x14ac:dyDescent="0.25">
      <c r="B161" s="2" t="s">
        <v>346</v>
      </c>
      <c r="C161" s="6">
        <v>0.15</v>
      </c>
      <c r="D161" s="4">
        <f>(1-C161)*(BM143+BM142+BL143+BL142++BK142+BJ142+BI142+BH142+BH141+BG141/2+BG142/2)</f>
        <v>57955.360686128683</v>
      </c>
      <c r="E161" s="6">
        <f>D161/$D163</f>
        <v>3.515248696335331E-2</v>
      </c>
      <c r="F161" s="1">
        <v>9</v>
      </c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>
        <f>V160/2*$D$130</f>
        <v>6345.7880759314958</v>
      </c>
      <c r="Y161" s="9">
        <f t="shared" ref="Y161" si="54">W160/2*$D$130</f>
        <v>12691.576151862992</v>
      </c>
      <c r="Z161" s="9">
        <f t="shared" ref="Z161" si="55">X160/2*$D$130</f>
        <v>6345.7880759314958</v>
      </c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C161" s="101"/>
    </row>
    <row r="162" spans="2:56" x14ac:dyDescent="0.25">
      <c r="B162" s="2" t="s">
        <v>347</v>
      </c>
      <c r="C162" s="6">
        <v>0.4</v>
      </c>
      <c r="D162" s="4">
        <f>(1-C162)*(BG141/2+BG142/2+BF141+BE141+BD141+BC141+BC140+BB140+BB141+BA140+AZ140+AY140)</f>
        <v>33353.972864736417</v>
      </c>
      <c r="E162" s="6">
        <f>D162/$D163</f>
        <v>2.0230658258750395E-2</v>
      </c>
      <c r="F162" s="1">
        <v>10</v>
      </c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>
        <f>X161/2*$D$130</f>
        <v>11739.707940473269</v>
      </c>
      <c r="AA162" s="9">
        <f t="shared" ref="AA162" si="56">Y161/2*$D$130</f>
        <v>23479.415880946537</v>
      </c>
      <c r="AB162" s="9">
        <f t="shared" ref="AB162" si="57">Z161/2*$D$130</f>
        <v>11739.707940473269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C162" s="101"/>
    </row>
    <row r="163" spans="2:56" x14ac:dyDescent="0.25">
      <c r="B163" s="2" t="s">
        <v>348</v>
      </c>
      <c r="C163" s="6"/>
      <c r="D163" s="93">
        <f>SUM(D157:D162)</f>
        <v>1648684.5083406903</v>
      </c>
      <c r="F163" s="1">
        <v>11</v>
      </c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>
        <f>Z162/2*$D$130</f>
        <v>21718.459689875548</v>
      </c>
      <c r="AC163" s="9">
        <f t="shared" ref="AC163" si="58">AA162/2*$D$130</f>
        <v>43436.919379751096</v>
      </c>
      <c r="AD163" s="9">
        <f t="shared" ref="AD163" si="59">AB162/2*$D$130</f>
        <v>21718.459689875548</v>
      </c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C163" s="101"/>
    </row>
    <row r="164" spans="2:56" x14ac:dyDescent="0.25">
      <c r="B164" s="2"/>
      <c r="C164" s="6"/>
      <c r="D164" s="93"/>
      <c r="F164" s="1">
        <v>12</v>
      </c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>
        <f>AB163/2*$D$130</f>
        <v>40179.150426269764</v>
      </c>
      <c r="AE164" s="9">
        <f t="shared" ref="AE164" si="60">AC163/2*$D$130</f>
        <v>80358.300852539527</v>
      </c>
      <c r="AF164" s="9">
        <f t="shared" ref="AF164" si="61">AD163/2*$D$130</f>
        <v>40179.150426269764</v>
      </c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C164" s="101"/>
    </row>
    <row r="165" spans="2:56" x14ac:dyDescent="0.25">
      <c r="B165" s="2" t="s">
        <v>376</v>
      </c>
      <c r="C165" s="6">
        <v>-5.1999999999999998E-2</v>
      </c>
      <c r="D165" s="4">
        <f>(1-C165)*(BC176)</f>
        <v>135864885.09468868</v>
      </c>
      <c r="E165" s="6">
        <f>D165/$D171</f>
        <v>0.27940879166821497</v>
      </c>
      <c r="F165" s="1">
        <v>13</v>
      </c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>
        <f>AD164/2*$D$130</f>
        <v>74331.428288599069</v>
      </c>
      <c r="AG165" s="9">
        <f t="shared" ref="AG165" si="62">AE164/2*$D$130</f>
        <v>148662.85657719814</v>
      </c>
      <c r="AH165" s="9">
        <f t="shared" ref="AH165" si="63">AF164/2*$D$130</f>
        <v>74331.428288599069</v>
      </c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C165" s="101"/>
    </row>
    <row r="166" spans="2:56" x14ac:dyDescent="0.25">
      <c r="B166" s="2" t="s">
        <v>377</v>
      </c>
      <c r="C166" s="6">
        <v>0</v>
      </c>
      <c r="D166" s="4">
        <f>(1-C166)*(BB175+BB176)</f>
        <v>99479735.51532802</v>
      </c>
      <c r="E166" s="6">
        <f>D166/$D171</f>
        <v>0.20458202041270493</v>
      </c>
      <c r="F166" s="1">
        <v>14</v>
      </c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>
        <f>AF165/2*$D$130</f>
        <v>137513.1423339083</v>
      </c>
      <c r="AI166" s="9">
        <f t="shared" ref="AI166" si="64">AG165/2*$D$130</f>
        <v>275026.2846678166</v>
      </c>
      <c r="AJ166" s="9">
        <f t="shared" ref="AJ166" si="65">AH165/2*$D$130</f>
        <v>137513.1423339083</v>
      </c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C166" s="101"/>
    </row>
    <row r="167" spans="2:56" x14ac:dyDescent="0.25">
      <c r="B167" s="2" t="s">
        <v>378</v>
      </c>
      <c r="C167" s="6">
        <v>0</v>
      </c>
      <c r="D167" s="4">
        <f>(1-C167)*(BA175+AZ174+AZ175+AY174)</f>
        <v>161318490.02485621</v>
      </c>
      <c r="E167" s="6">
        <f>D167/$D171</f>
        <v>0.33175462769627823</v>
      </c>
      <c r="F167" s="1">
        <v>15</v>
      </c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>
        <f>AH166/2*$D$130</f>
        <v>254399.31331773035</v>
      </c>
      <c r="AK167" s="9">
        <f t="shared" ref="AK167" si="66">AI166/2*$D$130</f>
        <v>508798.62663546071</v>
      </c>
      <c r="AL167" s="9">
        <f t="shared" ref="AL167" si="67">AJ166/2*$D$130</f>
        <v>254399.31331773035</v>
      </c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C167" s="101"/>
    </row>
    <row r="168" spans="2:56" x14ac:dyDescent="0.25">
      <c r="B168" s="2" t="s">
        <v>379</v>
      </c>
      <c r="C168" s="6">
        <v>0</v>
      </c>
      <c r="D168" s="4">
        <f>(1-C168)*(AX173+AX174+AW173+AV172/2+AV173/2)</f>
        <v>57319646.817233481</v>
      </c>
      <c r="E168" s="6">
        <f>D168/$D171</f>
        <v>0.11787897398868181</v>
      </c>
      <c r="F168" s="1">
        <v>16</v>
      </c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>
        <f>AJ167/2*$D$130</f>
        <v>470638.72963780118</v>
      </c>
      <c r="AM168" s="9">
        <f t="shared" ref="AM168" si="68">AK167/2*$D$130</f>
        <v>941277.45927560236</v>
      </c>
      <c r="AN168" s="9">
        <f t="shared" ref="AN168" si="69">AL167/2*$D$130</f>
        <v>470638.72963780118</v>
      </c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C168" s="101"/>
    </row>
    <row r="169" spans="2:56" x14ac:dyDescent="0.25">
      <c r="B169" s="2" t="s">
        <v>380</v>
      </c>
      <c r="C169" s="6">
        <v>0.15</v>
      </c>
      <c r="D169" s="4">
        <f>(1-C169)*(AV172/2+AV173/2+AU172+AT172+AT171)</f>
        <v>23268052.467840597</v>
      </c>
      <c r="E169" s="6">
        <f>D169/$D171</f>
        <v>4.7851204672796806E-2</v>
      </c>
      <c r="F169" s="1">
        <v>17</v>
      </c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>
        <f>AL168/2*$D$130</f>
        <v>870681.64982993226</v>
      </c>
      <c r="AO169" s="9">
        <f t="shared" ref="AO169" si="70">AM168/2*$D$130</f>
        <v>1741363.2996598645</v>
      </c>
      <c r="AP169" s="9">
        <f t="shared" ref="AP169" si="71">AN168/2*$D$130</f>
        <v>870681.64982993226</v>
      </c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C169" s="101"/>
    </row>
    <row r="170" spans="2:56" x14ac:dyDescent="0.25">
      <c r="B170" s="2" t="s">
        <v>381</v>
      </c>
      <c r="C170" s="6">
        <v>0.4</v>
      </c>
      <c r="D170" s="4">
        <f>(1-C170)*(AS171+AR170+AR171+AQ170+AP169/2+AP170/2)</f>
        <v>9007637.0083155632</v>
      </c>
      <c r="E170" s="6">
        <f>D170/$D171</f>
        <v>1.8524381561323199E-2</v>
      </c>
      <c r="F170" s="1">
        <v>18</v>
      </c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>
        <f>AN169/2*$D$130</f>
        <v>1610761.0521853748</v>
      </c>
      <c r="AQ170" s="9">
        <f t="shared" ref="AQ170" si="72">AO169/2*$D$130</f>
        <v>3221522.1043707496</v>
      </c>
      <c r="AR170" s="9">
        <f t="shared" ref="AR170" si="73">AP169/2*$D$130</f>
        <v>1610761.0521853748</v>
      </c>
      <c r="AS170" s="9"/>
      <c r="AT170" s="9"/>
      <c r="AU170" s="9"/>
      <c r="AV170" s="9"/>
      <c r="AW170" s="9"/>
      <c r="AX170" s="9"/>
      <c r="AY170" s="9"/>
      <c r="AZ170" s="9"/>
      <c r="BA170" s="9"/>
      <c r="BC170" s="101"/>
    </row>
    <row r="171" spans="2:56" x14ac:dyDescent="0.25">
      <c r="B171" s="2" t="s">
        <v>382</v>
      </c>
      <c r="C171" s="6"/>
      <c r="D171" s="93">
        <f>SUM(D165:D170)</f>
        <v>486258446.92826259</v>
      </c>
      <c r="F171" s="1">
        <v>19</v>
      </c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>
        <f>AP170/2*$D$130</f>
        <v>2979907.9465429434</v>
      </c>
      <c r="AS171" s="9">
        <f t="shared" ref="AS171" si="74">AQ170/2*$D$130</f>
        <v>5959815.8930858867</v>
      </c>
      <c r="AT171" s="9">
        <f t="shared" ref="AT171" si="75">AR170/2*$D$130</f>
        <v>2979907.9465429434</v>
      </c>
      <c r="AU171" s="9"/>
      <c r="AV171" s="9"/>
      <c r="AW171" s="9"/>
      <c r="AX171" s="9"/>
      <c r="AY171" s="9"/>
      <c r="AZ171" s="9"/>
      <c r="BA171" s="9"/>
      <c r="BC171" s="101"/>
    </row>
    <row r="172" spans="2:56" x14ac:dyDescent="0.25">
      <c r="B172" s="2"/>
      <c r="C172" s="6"/>
      <c r="D172" s="93"/>
      <c r="F172" s="1">
        <v>20</v>
      </c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>
        <f>AR171/2*$D$130</f>
        <v>5512829.7011044454</v>
      </c>
      <c r="AU172" s="9">
        <f t="shared" ref="AU172" si="76">AS171/2*$D$130</f>
        <v>11025659.402208891</v>
      </c>
      <c r="AV172" s="9">
        <f t="shared" ref="AV172" si="77">AT171/2*$D$130</f>
        <v>5512829.7011044454</v>
      </c>
      <c r="AW172" s="9"/>
      <c r="AX172" s="9"/>
      <c r="AY172" s="9"/>
      <c r="AZ172" s="9"/>
      <c r="BA172" s="9"/>
      <c r="BC172" s="101"/>
    </row>
    <row r="173" spans="2:56" x14ac:dyDescent="0.25">
      <c r="B173" s="2" t="s">
        <v>350</v>
      </c>
      <c r="C173" s="2" t="s">
        <v>349</v>
      </c>
      <c r="D173" s="93" t="s">
        <v>8</v>
      </c>
      <c r="F173" s="1">
        <v>21</v>
      </c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>
        <f>AT172/2*$D$130</f>
        <v>10198734.947043225</v>
      </c>
      <c r="AW173" s="9">
        <f t="shared" ref="AW173" si="78">AU172/2*$D$130</f>
        <v>20397469.89408645</v>
      </c>
      <c r="AX173" s="9">
        <f t="shared" ref="AX173" si="79">AV172/2*$D$130</f>
        <v>10198734.947043225</v>
      </c>
      <c r="AY173" s="9"/>
      <c r="AZ173" s="9"/>
      <c r="BA173" s="9"/>
      <c r="BC173" s="101"/>
    </row>
    <row r="174" spans="2:56" x14ac:dyDescent="0.25">
      <c r="B174" s="2">
        <v>200</v>
      </c>
      <c r="C174" s="88" t="str">
        <f>ROUND((B174-$M$7)/$N$7+0.5,1) &amp;" to "&amp; ROUND(B174/$N$7-0.5,1)</f>
        <v>-5.1 to 0.3</v>
      </c>
      <c r="D174" s="93">
        <f>SUMPRODUCT($G$131*($D$130*$D$131)^({1}))</f>
        <v>185</v>
      </c>
      <c r="F174" s="1">
        <v>22</v>
      </c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>
        <f>AV173/2*$D$130</f>
        <v>18867659.652029969</v>
      </c>
      <c r="AY174" s="9">
        <f t="shared" ref="AY174" si="80">AW173/2*$D$130</f>
        <v>37735319.304059938</v>
      </c>
      <c r="AZ174" s="9">
        <f t="shared" ref="AZ174" si="81">AX173/2*$D$130</f>
        <v>18867659.652029969</v>
      </c>
      <c r="BA174" s="9"/>
      <c r="BC174" s="101"/>
    </row>
    <row r="175" spans="2:56" x14ac:dyDescent="0.25">
      <c r="B175" s="2">
        <v>400</v>
      </c>
      <c r="C175" s="88" t="str">
        <f>ROUND((B175-$M$7)/$N$7+0.5,1) &amp;" to "&amp; ROUND(B175/$N$7-0.5,1)</f>
        <v>-4.3 to 1.1</v>
      </c>
      <c r="D175" s="93">
        <f>SUMPRODUCT($G$131*($D$130*$D$131)^({0.5,1.1}))</f>
        <v>332.75299914307504</v>
      </c>
      <c r="F175" s="1">
        <v>23</v>
      </c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>
        <f>AX174/2*$D$130</f>
        <v>34905170.356255442</v>
      </c>
      <c r="BA175" s="9">
        <f t="shared" ref="BA175" si="82">AY174/2*$D$130</f>
        <v>69810340.712510884</v>
      </c>
      <c r="BB175" s="9">
        <f t="shared" ref="BB175" si="83">AZ174/2*$D$130</f>
        <v>34905170.356255442</v>
      </c>
      <c r="BC175" s="101"/>
    </row>
    <row r="176" spans="2:56" x14ac:dyDescent="0.25">
      <c r="B176" s="2">
        <v>1200</v>
      </c>
      <c r="C176" s="88" t="str">
        <f>ROUND((B176-$M$7)/$N$7+0.5,1) &amp;" to "&amp; ROUND(B176/$N$7-0.5,1)</f>
        <v>-1.1 to 4.3</v>
      </c>
      <c r="D176" s="93">
        <f>SUMPRODUCT($G$131*($D$130*$D$131)^({0.3,1.3,2.3,3.3,4.3}))</f>
        <v>2924.6425024439868</v>
      </c>
      <c r="F176" s="101">
        <v>24</v>
      </c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>
        <f>AZ175/2*$D$130</f>
        <v>64574565.159072571</v>
      </c>
      <c r="BC176" s="101">
        <f t="shared" ref="BC176" si="84">BA175/2*$D$130</f>
        <v>129149130.31814514</v>
      </c>
      <c r="BD176" s="9">
        <f t="shared" ref="BD176" si="85">BB175/2*$D$130</f>
        <v>64574565.159072571</v>
      </c>
    </row>
    <row r="177" spans="1:58" x14ac:dyDescent="0.25">
      <c r="B177" s="2">
        <v>3800</v>
      </c>
      <c r="C177" s="88" t="str">
        <f>ROUND((B177-$M$7)/$N$7+0.5,1) &amp;" to "&amp; ROUND(B177/$N$7-0.5,1)</f>
        <v>9.3 to 14.7</v>
      </c>
      <c r="D177" s="93">
        <f>SUMPRODUCT($G$131*($D$130*$D$131)^({9.3,10.3,11.3,12.3,13.3,14.7}))</f>
        <v>1588471.7452397677</v>
      </c>
      <c r="BD177" s="4"/>
      <c r="BE177" s="4"/>
      <c r="BF177" s="4"/>
    </row>
    <row r="178" spans="1:58" x14ac:dyDescent="0.25">
      <c r="B178" s="2">
        <v>6000</v>
      </c>
      <c r="C178" s="88" t="str">
        <f>ROUND((B178-$M$7)/$N$7+0.5,1) &amp;" to "&amp; ROUND(B178/$N$7-0.5,1)</f>
        <v>18.1 to 23.5</v>
      </c>
      <c r="D178" s="93">
        <f>SUMPRODUCT($G$131*($D$130*$D$131)^({18.1,19.1,20.1,21.1,22.1,23.5}))</f>
        <v>356525587.50760561</v>
      </c>
      <c r="BD178" s="4"/>
      <c r="BE178" s="4"/>
      <c r="BF178" s="4"/>
    </row>
    <row r="179" spans="1:58" x14ac:dyDescent="0.25">
      <c r="B179" s="2"/>
      <c r="C179" s="88"/>
      <c r="D179" s="93"/>
      <c r="BD179" s="4"/>
      <c r="BE179" s="4"/>
      <c r="BF179" s="4"/>
    </row>
    <row r="180" spans="1:58" x14ac:dyDescent="0.25">
      <c r="C180" s="9">
        <f>100*D129</f>
        <v>390</v>
      </c>
      <c r="BD180" s="4"/>
      <c r="BE180" s="4"/>
      <c r="BF180" s="4"/>
    </row>
    <row r="181" spans="1:58" x14ac:dyDescent="0.25">
      <c r="B181" s="2" t="s">
        <v>278</v>
      </c>
      <c r="C181" s="9">
        <f>C180*(1+C133)</f>
        <v>369.71999999999997</v>
      </c>
      <c r="D181" s="2" t="str">
        <f>ROUND((1-C133)*C180-C180,0)&amp;" die as children"</f>
        <v>20 die as children</v>
      </c>
      <c r="E181" s="6">
        <f>(C180-C181)/C180</f>
        <v>5.2000000000000074E-2</v>
      </c>
      <c r="BD181" s="4"/>
      <c r="BE181" s="4"/>
      <c r="BF181" s="4"/>
    </row>
    <row r="182" spans="1:58" x14ac:dyDescent="0.25">
      <c r="B182" s="2" t="s">
        <v>383</v>
      </c>
      <c r="C182" s="9">
        <f>C181*(1+C134)</f>
        <v>369.71999999999997</v>
      </c>
      <c r="D182" s="2" t="str">
        <f>ROUND((1-C134)*C181-C181,0)&amp;" die before being able to procreate"</f>
        <v>0 die before being able to procreate</v>
      </c>
      <c r="E182" s="6">
        <f>(C181-C182)/C180</f>
        <v>0</v>
      </c>
      <c r="BD182" s="4"/>
      <c r="BE182" s="4"/>
      <c r="BF182" s="4"/>
    </row>
    <row r="183" spans="1:58" x14ac:dyDescent="0.25">
      <c r="B183" s="2" t="s">
        <v>384</v>
      </c>
      <c r="C183" s="9">
        <f>C182</f>
        <v>369.71999999999997</v>
      </c>
      <c r="D183" s="2" t="str">
        <f>ROUND(C183-(1-C135)*C183,0)&amp;" die before being mature"</f>
        <v>0 die before being mature</v>
      </c>
      <c r="E183" s="6">
        <f>(C182-C183)/C180</f>
        <v>0</v>
      </c>
      <c r="BD183" s="4"/>
      <c r="BE183" s="4"/>
      <c r="BF183" s="4"/>
    </row>
    <row r="184" spans="1:58" x14ac:dyDescent="0.25">
      <c r="B184" s="2" t="s">
        <v>280</v>
      </c>
      <c r="C184" s="9">
        <f>C183*(1-C135)</f>
        <v>369.71999999999997</v>
      </c>
      <c r="D184" s="2" t="str">
        <f>ROUND(C184-(1-C136)*C184,0)&amp;" die before being middle-age"</f>
        <v>0 die before being middle-age</v>
      </c>
      <c r="E184" s="6">
        <f>(C184-C185)/C180</f>
        <v>0</v>
      </c>
      <c r="BD184" s="4"/>
      <c r="BE184" s="4"/>
      <c r="BF184" s="4"/>
    </row>
    <row r="185" spans="1:58" x14ac:dyDescent="0.25">
      <c r="B185" s="2" t="s">
        <v>281</v>
      </c>
      <c r="C185" s="9">
        <f>C184*(1-C136)</f>
        <v>369.71999999999997</v>
      </c>
      <c r="D185" s="2" t="str">
        <f>ROUND(C185-(1-C137)*C185,0)&amp;" die before being old"</f>
        <v>55 die before being old</v>
      </c>
      <c r="E185" s="6">
        <f>(C185-C186)/C180</f>
        <v>0.14220000000000008</v>
      </c>
      <c r="BD185" s="4"/>
      <c r="BE185" s="4"/>
      <c r="BF185" s="4"/>
    </row>
    <row r="186" spans="1:58" x14ac:dyDescent="0.25">
      <c r="B186" s="2" t="s">
        <v>375</v>
      </c>
      <c r="C186" s="9">
        <f>C185*(1-C137)</f>
        <v>314.26199999999994</v>
      </c>
      <c r="D186" s="2" t="str">
        <f>ROUND(C186-(1-C138)*C186,0)&amp;" die before being venerable"</f>
        <v>126 die before being venerable</v>
      </c>
      <c r="E186" s="6">
        <f>(C186-C187)/C180</f>
        <v>0.32231999999999994</v>
      </c>
      <c r="BD186" s="4"/>
      <c r="BE186" s="4"/>
      <c r="BF186" s="4"/>
    </row>
    <row r="187" spans="1:58" x14ac:dyDescent="0.25">
      <c r="B187" s="2" t="s">
        <v>283</v>
      </c>
      <c r="C187" s="9">
        <f>C186*(1-C138)</f>
        <v>188.55719999999997</v>
      </c>
      <c r="E187" s="6">
        <f>C187/C180</f>
        <v>0.48347999999999991</v>
      </c>
    </row>
    <row r="188" spans="1:58" x14ac:dyDescent="0.25">
      <c r="B188" s="2"/>
      <c r="C188" s="2"/>
      <c r="D188" s="2"/>
    </row>
    <row r="189" spans="1:58" ht="33" customHeight="1" x14ac:dyDescent="0.35">
      <c r="A189" s="11" t="s">
        <v>114</v>
      </c>
      <c r="B189" s="1" t="s">
        <v>329</v>
      </c>
      <c r="D189" s="1">
        <v>4.4000000000000004</v>
      </c>
      <c r="E189" s="84"/>
      <c r="G189" s="76" t="s">
        <v>331</v>
      </c>
      <c r="M189" s="2"/>
      <c r="N189" s="2"/>
    </row>
    <row r="190" spans="1:58" ht="15.5" x14ac:dyDescent="0.35">
      <c r="B190" s="1" t="s">
        <v>330</v>
      </c>
      <c r="D190" s="1">
        <v>4.0999999999999996</v>
      </c>
      <c r="E190" s="6">
        <f>D190/D189</f>
        <v>0.93181818181818166</v>
      </c>
      <c r="F190" s="76" t="s">
        <v>301</v>
      </c>
      <c r="G190" s="85">
        <v>0</v>
      </c>
      <c r="H190" s="86">
        <f>G190+$N$9/4</f>
        <v>33.25</v>
      </c>
      <c r="I190" s="86">
        <f t="shared" ref="I190:AQ190" si="86">H190+$N$9/4</f>
        <v>66.5</v>
      </c>
      <c r="J190" s="86">
        <f t="shared" si="86"/>
        <v>99.75</v>
      </c>
      <c r="K190" s="86">
        <f t="shared" si="86"/>
        <v>133</v>
      </c>
      <c r="L190" s="86">
        <f t="shared" si="86"/>
        <v>166.25</v>
      </c>
      <c r="M190" s="86">
        <f t="shared" si="86"/>
        <v>199.5</v>
      </c>
      <c r="N190" s="86">
        <f t="shared" si="86"/>
        <v>232.75</v>
      </c>
      <c r="O190" s="86">
        <f t="shared" si="86"/>
        <v>266</v>
      </c>
      <c r="P190" s="86">
        <f t="shared" si="86"/>
        <v>299.25</v>
      </c>
      <c r="Q190" s="86">
        <f t="shared" si="86"/>
        <v>332.5</v>
      </c>
      <c r="R190" s="86">
        <f t="shared" si="86"/>
        <v>365.75</v>
      </c>
      <c r="S190" s="86">
        <f t="shared" si="86"/>
        <v>399</v>
      </c>
      <c r="T190" s="86">
        <f t="shared" si="86"/>
        <v>432.25</v>
      </c>
      <c r="U190" s="86">
        <f t="shared" si="86"/>
        <v>465.5</v>
      </c>
      <c r="V190" s="86">
        <f t="shared" si="86"/>
        <v>498.75</v>
      </c>
      <c r="W190" s="86">
        <f t="shared" si="86"/>
        <v>532</v>
      </c>
      <c r="X190" s="86">
        <f t="shared" si="86"/>
        <v>565.25</v>
      </c>
      <c r="Y190" s="86">
        <f t="shared" si="86"/>
        <v>598.5</v>
      </c>
      <c r="Z190" s="86">
        <f t="shared" si="86"/>
        <v>631.75</v>
      </c>
      <c r="AA190" s="86">
        <f t="shared" si="86"/>
        <v>665</v>
      </c>
      <c r="AB190" s="86">
        <f t="shared" si="86"/>
        <v>698.25</v>
      </c>
      <c r="AC190" s="86">
        <f t="shared" si="86"/>
        <v>731.5</v>
      </c>
      <c r="AD190" s="86">
        <f t="shared" si="86"/>
        <v>764.75</v>
      </c>
      <c r="AE190" s="86">
        <f t="shared" si="86"/>
        <v>798</v>
      </c>
      <c r="AF190" s="86">
        <f t="shared" si="86"/>
        <v>831.25</v>
      </c>
      <c r="AG190" s="86">
        <f t="shared" si="86"/>
        <v>864.5</v>
      </c>
      <c r="AH190" s="86">
        <f t="shared" si="86"/>
        <v>897.75</v>
      </c>
      <c r="AI190" s="86">
        <f t="shared" si="86"/>
        <v>931</v>
      </c>
      <c r="AJ190" s="86">
        <f t="shared" si="86"/>
        <v>964.25</v>
      </c>
      <c r="AK190" s="86">
        <f t="shared" si="86"/>
        <v>997.5</v>
      </c>
      <c r="AL190" s="86">
        <f t="shared" si="86"/>
        <v>1030.75</v>
      </c>
      <c r="AM190" s="86">
        <f t="shared" si="86"/>
        <v>1064</v>
      </c>
      <c r="AN190" s="86">
        <f t="shared" si="86"/>
        <v>1097.25</v>
      </c>
      <c r="AO190" s="86">
        <f t="shared" si="86"/>
        <v>1130.5</v>
      </c>
      <c r="AP190" s="86">
        <f t="shared" si="86"/>
        <v>1163.75</v>
      </c>
      <c r="AQ190" s="86">
        <f t="shared" si="86"/>
        <v>1197</v>
      </c>
      <c r="AR190" s="88"/>
      <c r="AS190" s="88"/>
      <c r="AT190" s="88"/>
      <c r="AU190" s="88"/>
      <c r="AV190" s="88"/>
      <c r="AW190" s="88"/>
      <c r="AX190" s="88"/>
    </row>
    <row r="191" spans="1:58" x14ac:dyDescent="0.25">
      <c r="B191" s="2" t="s">
        <v>390</v>
      </c>
      <c r="D191" s="1">
        <f>1/3</f>
        <v>0.33333333333333331</v>
      </c>
      <c r="F191" s="1">
        <v>0</v>
      </c>
      <c r="G191" s="9">
        <f>50/D191</f>
        <v>150</v>
      </c>
      <c r="H191" s="9"/>
      <c r="I191" s="9"/>
      <c r="J191" s="9"/>
      <c r="K191" s="9"/>
      <c r="L191" s="9"/>
      <c r="M191" s="82"/>
      <c r="N191" s="9"/>
      <c r="O191" s="9"/>
      <c r="P191" s="9"/>
      <c r="Q191" s="9"/>
      <c r="R191" s="9"/>
      <c r="S191" s="95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2"/>
      <c r="AR191" s="9"/>
      <c r="AS191" s="9"/>
      <c r="AT191" s="9"/>
      <c r="AU191" s="9"/>
      <c r="AV191" s="9"/>
      <c r="AW191" s="9"/>
    </row>
    <row r="192" spans="1:58" x14ac:dyDescent="0.25">
      <c r="C192" s="2" t="s">
        <v>335</v>
      </c>
      <c r="F192" s="1">
        <v>1</v>
      </c>
      <c r="G192" s="9"/>
      <c r="H192" s="9"/>
      <c r="I192" s="9">
        <f>G191*$D$191*$D$190/10</f>
        <v>20.499999999999996</v>
      </c>
      <c r="J192" s="9">
        <f>G191*$D$191*$D$190/5</f>
        <v>40.999999999999993</v>
      </c>
      <c r="K192" s="9">
        <f>G191*$D$191*$D$190*0.4</f>
        <v>82</v>
      </c>
      <c r="L192" s="9">
        <f>G191*$D$191*$D$190/5</f>
        <v>40.999999999999993</v>
      </c>
      <c r="M192" s="82">
        <f>G191*$D$191*$D$190/10</f>
        <v>20.499999999999996</v>
      </c>
      <c r="N192" s="9"/>
      <c r="O192" s="9"/>
      <c r="P192" s="9"/>
      <c r="Q192" s="9"/>
      <c r="R192" s="9"/>
      <c r="S192" s="95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2"/>
      <c r="AR192" s="9"/>
      <c r="AS192" s="9"/>
      <c r="AT192" s="9"/>
      <c r="AU192" s="9"/>
      <c r="AV192" s="9"/>
      <c r="AW192" s="9"/>
    </row>
    <row r="193" spans="2:50" x14ac:dyDescent="0.25">
      <c r="B193" s="2" t="s">
        <v>302</v>
      </c>
      <c r="C193" s="6">
        <v>-5.8000000000000003E-2</v>
      </c>
      <c r="D193" s="93">
        <f>(1-C193)*(M193+M192+L192)</f>
        <v>94.708633333333324</v>
      </c>
      <c r="E193" s="6">
        <f>D193/$D199</f>
        <v>0.24344900405360048</v>
      </c>
      <c r="F193" s="78">
        <v>2</v>
      </c>
      <c r="G193" s="82"/>
      <c r="H193" s="82"/>
      <c r="I193" s="82"/>
      <c r="J193" s="82"/>
      <c r="K193" s="82"/>
      <c r="L193" s="82"/>
      <c r="M193" s="82">
        <f>I192*$D$191*$D$190</f>
        <v>28.016666666666659</v>
      </c>
      <c r="N193" s="9">
        <f>J192*$D$191*$D$190</f>
        <v>56.033333333333317</v>
      </c>
      <c r="O193" s="9">
        <f>K192*$D$191*$D$190</f>
        <v>112.06666666666665</v>
      </c>
      <c r="P193" s="9">
        <f>L192*$D$191*$D$190</f>
        <v>56.033333333333317</v>
      </c>
      <c r="Q193" s="9">
        <f>M192*$D$191*$D$190</f>
        <v>28.016666666666659</v>
      </c>
      <c r="R193" s="9"/>
      <c r="S193" s="95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2"/>
      <c r="AR193" s="9"/>
      <c r="AS193" s="9"/>
      <c r="AT193" s="9"/>
      <c r="AU193" s="9"/>
      <c r="AV193" s="9"/>
      <c r="AW193" s="9"/>
    </row>
    <row r="194" spans="2:50" x14ac:dyDescent="0.25">
      <c r="B194" s="2" t="s">
        <v>303</v>
      </c>
      <c r="C194" s="6">
        <v>-0.01</v>
      </c>
      <c r="D194" s="93">
        <f>(1-C194)*(K192)</f>
        <v>82.820000000000007</v>
      </c>
      <c r="E194" s="6">
        <f>D194/D199</f>
        <v>0.21288921406727646</v>
      </c>
      <c r="F194" s="96">
        <v>3</v>
      </c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>
        <f>M193*$D$191*$D$190</f>
        <v>38.289444444444428</v>
      </c>
      <c r="R194" s="95">
        <f>N193*$D$191*$D$190</f>
        <v>76.578888888888855</v>
      </c>
      <c r="S194" s="95">
        <f>O193*$D$191*$D$190</f>
        <v>153.15777777777774</v>
      </c>
      <c r="T194" s="9">
        <f>P193*$D$191*$D$190</f>
        <v>76.578888888888855</v>
      </c>
      <c r="U194" s="9">
        <f>Q193*$D$191*$D$190</f>
        <v>38.289444444444428</v>
      </c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2"/>
      <c r="AR194" s="9"/>
      <c r="AS194" s="9"/>
      <c r="AT194" s="9"/>
      <c r="AU194" s="9"/>
      <c r="AV194" s="9"/>
      <c r="AW194" s="9"/>
    </row>
    <row r="195" spans="2:50" x14ac:dyDescent="0.25">
      <c r="B195" s="2" t="s">
        <v>304</v>
      </c>
      <c r="C195" s="6">
        <v>0</v>
      </c>
      <c r="D195" s="93">
        <f>(1-C195)*(J192+I192+G191)</f>
        <v>211.5</v>
      </c>
      <c r="E195" s="6">
        <f>D195/D199</f>
        <v>0.54366178187912306</v>
      </c>
      <c r="F195" s="1">
        <v>4</v>
      </c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>
        <f>Q194*$D$191*$D$190</f>
        <v>52.328907407407378</v>
      </c>
      <c r="V195" s="9">
        <f>R194*$D$191*$D$190</f>
        <v>104.65781481481476</v>
      </c>
      <c r="W195" s="9">
        <f>S194*$D$191*$D$190</f>
        <v>209.31562962962954</v>
      </c>
      <c r="X195" s="9">
        <f>T194*$D$191*$D$190</f>
        <v>104.65781481481476</v>
      </c>
      <c r="Y195" s="9">
        <f>U194*$D$191*$D$190</f>
        <v>52.328907407407378</v>
      </c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2"/>
      <c r="AR195" s="9"/>
      <c r="AS195" s="9"/>
      <c r="AT195" s="9"/>
      <c r="AU195" s="9"/>
      <c r="AV195" s="9"/>
      <c r="AW195" s="9"/>
      <c r="AX195" s="9"/>
    </row>
    <row r="196" spans="2:50" x14ac:dyDescent="0.25">
      <c r="B196" s="2" t="s">
        <v>305</v>
      </c>
      <c r="C196" s="6">
        <v>0</v>
      </c>
      <c r="D196" s="93">
        <v>0</v>
      </c>
      <c r="E196" s="6">
        <f>D196/D199</f>
        <v>0</v>
      </c>
      <c r="F196" s="1">
        <v>5</v>
      </c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>
        <f>U195*$D$191*$D$190</f>
        <v>71.516173456790071</v>
      </c>
      <c r="Z196" s="9">
        <f>V195*$D$191*$D$190</f>
        <v>143.03234691358014</v>
      </c>
      <c r="AA196" s="9">
        <f>W195*$D$191*$D$190</f>
        <v>286.06469382716034</v>
      </c>
      <c r="AB196" s="9">
        <f>X195*$D$191*$D$190</f>
        <v>143.03234691358014</v>
      </c>
      <c r="AC196" s="9">
        <f>Y195*$D$191*$D$190</f>
        <v>71.516173456790071</v>
      </c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2"/>
      <c r="AR196" s="9"/>
      <c r="AS196" s="9"/>
      <c r="AT196" s="9"/>
      <c r="AU196" s="9"/>
      <c r="AV196" s="9"/>
      <c r="AW196" s="9"/>
    </row>
    <row r="197" spans="2:50" x14ac:dyDescent="0.25">
      <c r="B197" s="2" t="s">
        <v>306</v>
      </c>
      <c r="C197" s="6">
        <v>0.15</v>
      </c>
      <c r="D197" s="93">
        <v>0</v>
      </c>
      <c r="E197" s="6">
        <f>D197/D199</f>
        <v>0</v>
      </c>
      <c r="F197" s="1">
        <v>6</v>
      </c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>
        <f>Y196*$D$191*$D$190</f>
        <v>97.738770390946414</v>
      </c>
      <c r="AD197" s="9">
        <f>Z196*$D$191*$D$190</f>
        <v>195.47754078189283</v>
      </c>
      <c r="AE197" s="9">
        <f>AA196*$D$191*$D$190</f>
        <v>390.95508156378571</v>
      </c>
      <c r="AF197" s="9">
        <f>AB196*$D$191*$D$190</f>
        <v>195.47754078189283</v>
      </c>
      <c r="AG197" s="9">
        <f>AC196*$D$191*$D$190</f>
        <v>97.738770390946414</v>
      </c>
      <c r="AH197" s="9"/>
      <c r="AI197" s="9"/>
      <c r="AJ197" s="9"/>
      <c r="AK197" s="9"/>
      <c r="AL197" s="9"/>
      <c r="AM197" s="9"/>
      <c r="AN197" s="9"/>
      <c r="AO197" s="9"/>
      <c r="AP197" s="9"/>
      <c r="AQ197" s="92"/>
      <c r="AR197" s="9"/>
      <c r="AS197" s="9"/>
      <c r="AT197" s="9"/>
      <c r="AU197" s="9"/>
      <c r="AV197" s="9"/>
      <c r="AW197" s="9"/>
    </row>
    <row r="198" spans="2:50" x14ac:dyDescent="0.25">
      <c r="B198" s="2" t="s">
        <v>307</v>
      </c>
      <c r="C198" s="6">
        <v>0.4</v>
      </c>
      <c r="D198" s="93">
        <v>0</v>
      </c>
      <c r="E198" s="6">
        <f>D198/D199</f>
        <v>0</v>
      </c>
      <c r="F198" s="1">
        <v>7</v>
      </c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>
        <f>AC197*$D$191*$D$190</f>
        <v>133.57631953429339</v>
      </c>
      <c r="AH198" s="9">
        <f>AD197*$D$191*$D$190</f>
        <v>267.15263906858678</v>
      </c>
      <c r="AI198" s="9">
        <f>AE197*$D$191*$D$190</f>
        <v>534.30527813717367</v>
      </c>
      <c r="AJ198" s="9">
        <f>AF197*$D$191*$D$190</f>
        <v>267.15263906858678</v>
      </c>
      <c r="AK198" s="9">
        <f>AG197*$D$191*$D$190</f>
        <v>133.57631953429339</v>
      </c>
      <c r="AL198" s="9"/>
      <c r="AM198" s="9"/>
      <c r="AN198" s="9"/>
      <c r="AO198" s="9"/>
      <c r="AP198" s="9"/>
      <c r="AQ198" s="92"/>
      <c r="AR198" s="9"/>
      <c r="AS198" s="9"/>
      <c r="AT198" s="9"/>
      <c r="AU198" s="9"/>
      <c r="AV198" s="9"/>
      <c r="AW198" s="9"/>
    </row>
    <row r="199" spans="2:50" x14ac:dyDescent="0.25">
      <c r="B199" s="2" t="s">
        <v>308</v>
      </c>
      <c r="C199" s="2"/>
      <c r="D199" s="93">
        <f>SUM(D193:D198)</f>
        <v>389.02863333333335</v>
      </c>
      <c r="F199" s="1">
        <v>8</v>
      </c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>
        <f>AG198*$D$191*$D$190</f>
        <v>182.55430336353427</v>
      </c>
      <c r="AL199" s="9">
        <f>AH198*$D$191*$D$190</f>
        <v>365.10860672706855</v>
      </c>
      <c r="AM199" s="9">
        <f>AI198*$D$191*$D$190</f>
        <v>730.21721345413721</v>
      </c>
      <c r="AN199" s="9">
        <f>AJ198*$D$191*$D$190</f>
        <v>365.10860672706855</v>
      </c>
      <c r="AO199" s="9">
        <f>AK198*$D$191*$D$190</f>
        <v>182.55430336353427</v>
      </c>
      <c r="AP199" s="9"/>
      <c r="AQ199" s="92"/>
      <c r="AR199" s="9"/>
      <c r="AS199" s="9"/>
      <c r="AT199" s="9"/>
      <c r="AU199" s="9"/>
      <c r="AV199" s="9"/>
      <c r="AW199" s="9"/>
    </row>
    <row r="200" spans="2:50" x14ac:dyDescent="0.25">
      <c r="D200" s="93"/>
      <c r="F200" s="92">
        <v>9</v>
      </c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  <c r="AF200" s="92"/>
      <c r="AG200" s="92"/>
      <c r="AH200" s="92"/>
      <c r="AI200" s="92"/>
      <c r="AJ200" s="92"/>
      <c r="AK200" s="92"/>
      <c r="AL200" s="92"/>
      <c r="AM200" s="92"/>
      <c r="AN200" s="92"/>
      <c r="AO200" s="92">
        <f>AK199*$D$191*$D$190</f>
        <v>249.49088126349679</v>
      </c>
      <c r="AP200" s="92">
        <f>AL199*$D$191*$D$190</f>
        <v>498.98176252699358</v>
      </c>
      <c r="AQ200" s="92">
        <f>AM199*$D$191*$D$190</f>
        <v>997.96352505398738</v>
      </c>
      <c r="AR200" s="9"/>
      <c r="AS200" s="9"/>
      <c r="AT200" s="9"/>
      <c r="AU200" s="9"/>
      <c r="AV200" s="9"/>
      <c r="AW200" s="9"/>
    </row>
    <row r="201" spans="2:50" x14ac:dyDescent="0.25">
      <c r="B201" s="2" t="s">
        <v>309</v>
      </c>
      <c r="C201" s="6">
        <v>-5.8000000000000003E-2</v>
      </c>
      <c r="D201" s="93">
        <f>(1-C201)*(S194+R194)</f>
        <v>243.06139333333326</v>
      </c>
      <c r="E201" s="6">
        <f>D201/$D207</f>
        <v>0.26500931491729318</v>
      </c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</row>
    <row r="202" spans="2:50" x14ac:dyDescent="0.25">
      <c r="B202" s="2" t="s">
        <v>310</v>
      </c>
      <c r="C202" s="6">
        <v>-0.01</v>
      </c>
      <c r="D202" s="93">
        <f>(1-C202)*(Q193+Q194)</f>
        <v>66.969172222222184</v>
      </c>
      <c r="E202" s="6">
        <f>D202/$D207</f>
        <v>7.301634458603859E-2</v>
      </c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</row>
    <row r="203" spans="2:50" x14ac:dyDescent="0.25">
      <c r="B203" s="2" t="s">
        <v>311</v>
      </c>
      <c r="C203" s="6">
        <v>0</v>
      </c>
      <c r="D203" s="93">
        <f>(1-C203)*(P193+O193+N193+M193+M192+L192+K192)</f>
        <v>395.64999999999992</v>
      </c>
      <c r="E203" s="6">
        <f>D203/$D207</f>
        <v>0.43137634491889443</v>
      </c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</row>
    <row r="204" spans="2:50" x14ac:dyDescent="0.25">
      <c r="B204" s="2" t="s">
        <v>312</v>
      </c>
      <c r="C204" s="6">
        <v>0</v>
      </c>
      <c r="D204" s="93">
        <f>(1-C204)*(J192+I192+G191)</f>
        <v>211.5</v>
      </c>
      <c r="E204" s="6">
        <f>D204/$D207</f>
        <v>0.23059799557777375</v>
      </c>
    </row>
    <row r="205" spans="2:50" ht="15.5" x14ac:dyDescent="0.35">
      <c r="B205" s="2" t="s">
        <v>313</v>
      </c>
      <c r="C205" s="6">
        <v>0.15</v>
      </c>
      <c r="D205" s="93">
        <v>0</v>
      </c>
      <c r="E205" s="6">
        <f>D205/$D207</f>
        <v>0</v>
      </c>
      <c r="G205" s="76" t="s">
        <v>331</v>
      </c>
    </row>
    <row r="206" spans="2:50" ht="15.5" x14ac:dyDescent="0.35">
      <c r="B206" s="2" t="s">
        <v>314</v>
      </c>
      <c r="C206" s="6">
        <v>0.4</v>
      </c>
      <c r="D206" s="93">
        <v>0</v>
      </c>
      <c r="E206" s="6">
        <f>D206/$D207</f>
        <v>0</v>
      </c>
      <c r="F206" s="76" t="s">
        <v>301</v>
      </c>
      <c r="G206" s="85">
        <v>0</v>
      </c>
      <c r="H206" s="86">
        <f>G206+$N$9</f>
        <v>133</v>
      </c>
      <c r="I206" s="86">
        <f t="shared" ref="I206:AJ206" si="87">H206+$N$9</f>
        <v>266</v>
      </c>
      <c r="J206" s="86">
        <f t="shared" si="87"/>
        <v>399</v>
      </c>
      <c r="K206" s="86">
        <f t="shared" si="87"/>
        <v>532</v>
      </c>
      <c r="L206" s="86">
        <f t="shared" si="87"/>
        <v>665</v>
      </c>
      <c r="M206" s="86">
        <f t="shared" si="87"/>
        <v>798</v>
      </c>
      <c r="N206" s="86">
        <f t="shared" si="87"/>
        <v>931</v>
      </c>
      <c r="O206" s="86">
        <f t="shared" si="87"/>
        <v>1064</v>
      </c>
      <c r="P206" s="86">
        <f t="shared" si="87"/>
        <v>1197</v>
      </c>
      <c r="Q206" s="86">
        <f t="shared" si="87"/>
        <v>1330</v>
      </c>
      <c r="R206" s="86">
        <f t="shared" si="87"/>
        <v>1463</v>
      </c>
      <c r="S206" s="86">
        <f t="shared" si="87"/>
        <v>1596</v>
      </c>
      <c r="T206" s="86">
        <f t="shared" si="87"/>
        <v>1729</v>
      </c>
      <c r="U206" s="86">
        <f t="shared" si="87"/>
        <v>1862</v>
      </c>
      <c r="V206" s="86">
        <f t="shared" si="87"/>
        <v>1995</v>
      </c>
      <c r="W206" s="86">
        <f t="shared" si="87"/>
        <v>2128</v>
      </c>
      <c r="X206" s="86">
        <f t="shared" si="87"/>
        <v>2261</v>
      </c>
      <c r="Y206" s="86">
        <f t="shared" si="87"/>
        <v>2394</v>
      </c>
      <c r="Z206" s="86">
        <f t="shared" si="87"/>
        <v>2527</v>
      </c>
      <c r="AA206" s="86">
        <f t="shared" si="87"/>
        <v>2660</v>
      </c>
      <c r="AB206" s="86">
        <f t="shared" si="87"/>
        <v>2793</v>
      </c>
      <c r="AC206" s="86">
        <f t="shared" si="87"/>
        <v>2926</v>
      </c>
      <c r="AD206" s="86">
        <f t="shared" si="87"/>
        <v>3059</v>
      </c>
      <c r="AE206" s="86">
        <f t="shared" si="87"/>
        <v>3192</v>
      </c>
      <c r="AF206" s="86">
        <f t="shared" si="87"/>
        <v>3325</v>
      </c>
      <c r="AG206" s="86">
        <f t="shared" si="87"/>
        <v>3458</v>
      </c>
      <c r="AH206" s="86">
        <f t="shared" si="87"/>
        <v>3591</v>
      </c>
      <c r="AI206" s="86">
        <f t="shared" si="87"/>
        <v>3724</v>
      </c>
      <c r="AJ206" s="86">
        <f t="shared" si="87"/>
        <v>3857</v>
      </c>
      <c r="AK206" s="88"/>
      <c r="AL206" s="88"/>
      <c r="AM206" s="88"/>
      <c r="AN206" s="88"/>
    </row>
    <row r="207" spans="2:50" x14ac:dyDescent="0.25">
      <c r="B207" s="2" t="s">
        <v>315</v>
      </c>
      <c r="C207" s="2"/>
      <c r="D207" s="93">
        <f>SUM(D201:D206)</f>
        <v>917.1805655555554</v>
      </c>
      <c r="F207" s="1">
        <v>0</v>
      </c>
      <c r="G207" s="9">
        <f>50/D191</f>
        <v>150</v>
      </c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100"/>
      <c r="AK207" s="9"/>
      <c r="AL207" s="9"/>
      <c r="AM207" s="9"/>
      <c r="AN207" s="9"/>
    </row>
    <row r="208" spans="2:50" x14ac:dyDescent="0.25">
      <c r="B208" s="2"/>
      <c r="C208" s="2"/>
      <c r="D208" s="93"/>
      <c r="F208" s="1">
        <v>1</v>
      </c>
      <c r="G208" s="9"/>
      <c r="H208" s="9">
        <f>G207*$D$191*$D$190</f>
        <v>204.99999999999997</v>
      </c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100"/>
      <c r="AK208" s="9"/>
      <c r="AL208" s="9"/>
      <c r="AM208" s="9"/>
      <c r="AN208" s="9"/>
    </row>
    <row r="209" spans="2:40" x14ac:dyDescent="0.25">
      <c r="B209" s="2" t="s">
        <v>316</v>
      </c>
      <c r="C209" s="6">
        <v>-5.8000000000000003E-2</v>
      </c>
      <c r="D209" s="93">
        <f>(1-C209)*(AQ200+AP200)</f>
        <v>1583.768114260678</v>
      </c>
      <c r="E209" s="6">
        <f>D209/$D215</f>
        <v>0.22888379078419038</v>
      </c>
      <c r="F209" s="1">
        <v>2</v>
      </c>
      <c r="G209" s="9"/>
      <c r="H209" s="9"/>
      <c r="I209" s="9">
        <f>H208*$D$191*$D$190</f>
        <v>280.16666666666657</v>
      </c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100"/>
      <c r="AK209" s="9"/>
      <c r="AL209" s="9"/>
      <c r="AM209" s="9"/>
      <c r="AN209" s="9"/>
    </row>
    <row r="210" spans="2:40" x14ac:dyDescent="0.25">
      <c r="B210" s="2" t="s">
        <v>317</v>
      </c>
      <c r="C210" s="6">
        <v>-0.01</v>
      </c>
      <c r="D210" s="93">
        <f>(1-C210)*(AO199+AO200)</f>
        <v>436.36563647330138</v>
      </c>
      <c r="E210" s="6">
        <f>D210/$D215</f>
        <v>6.3062906838851837E-2</v>
      </c>
      <c r="F210" s="1">
        <v>3</v>
      </c>
      <c r="G210" s="9"/>
      <c r="H210" s="9"/>
      <c r="I210" s="9"/>
      <c r="J210" s="9">
        <f>I209*$D$191*$D$190</f>
        <v>382.89444444444428</v>
      </c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100"/>
      <c r="AK210" s="9"/>
      <c r="AL210" s="9"/>
      <c r="AM210" s="9"/>
      <c r="AN210" s="9"/>
    </row>
    <row r="211" spans="2:40" x14ac:dyDescent="0.25">
      <c r="B211" s="2" t="s">
        <v>318</v>
      </c>
      <c r="C211" s="6">
        <v>0</v>
      </c>
      <c r="D211" s="93">
        <f>(1-C211)*(AN199+AM199+AL199+AK199+AK198+AJ198+AI198+AH198/2)</f>
        <v>2711.5992865461558</v>
      </c>
      <c r="E211" s="6">
        <f>D211/$D215</f>
        <v>0.39187625903310536</v>
      </c>
      <c r="F211" s="1">
        <v>4</v>
      </c>
      <c r="G211" s="9"/>
      <c r="H211" s="9"/>
      <c r="I211" s="9"/>
      <c r="J211" s="9"/>
      <c r="K211" s="9">
        <f>J210*$D$191*$D$190</f>
        <v>523.28907407407371</v>
      </c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100"/>
      <c r="AK211" s="9"/>
      <c r="AL211" s="9"/>
      <c r="AM211" s="9"/>
      <c r="AN211" s="9"/>
    </row>
    <row r="212" spans="2:40" x14ac:dyDescent="0.25">
      <c r="B212" s="2" t="s">
        <v>319</v>
      </c>
      <c r="C212" s="6">
        <v>0</v>
      </c>
      <c r="D212" s="93">
        <f>(1-C212)*(AH198/2+AG198+AG197+AF197+AE197+AD197)</f>
        <v>1146.8015725871046</v>
      </c>
      <c r="E212" s="6">
        <f>D212/$D215</f>
        <v>0.16573404202769809</v>
      </c>
      <c r="F212" s="1">
        <v>5</v>
      </c>
      <c r="G212" s="9"/>
      <c r="H212" s="9"/>
      <c r="I212" s="9"/>
      <c r="J212" s="9"/>
      <c r="K212" s="9"/>
      <c r="L212" s="9">
        <f>K211*$D$191*$D$190</f>
        <v>715.16173456790068</v>
      </c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100"/>
      <c r="AK212" s="9"/>
      <c r="AL212" s="9"/>
      <c r="AM212" s="9"/>
      <c r="AN212" s="9"/>
    </row>
    <row r="213" spans="2:40" x14ac:dyDescent="0.25">
      <c r="B213" s="2" t="s">
        <v>320</v>
      </c>
      <c r="C213" s="6">
        <v>0.15</v>
      </c>
      <c r="D213" s="93">
        <f>(1-C213)*(AC196+AC197+AB196+AA196+Z196+Y196+Y195)</f>
        <v>735.44500051131638</v>
      </c>
      <c r="E213" s="6">
        <f>D213/$D215</f>
        <v>0.10628540763929326</v>
      </c>
      <c r="F213" s="1">
        <v>6</v>
      </c>
      <c r="G213" s="9"/>
      <c r="H213" s="9"/>
      <c r="I213" s="9"/>
      <c r="J213" s="9"/>
      <c r="K213" s="9"/>
      <c r="L213" s="9"/>
      <c r="M213" s="9">
        <f>L212*$D$191*$D$190</f>
        <v>977.38770390946411</v>
      </c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100"/>
      <c r="AK213" s="9"/>
      <c r="AL213" s="9"/>
      <c r="AM213" s="9"/>
      <c r="AN213" s="9"/>
    </row>
    <row r="214" spans="2:40" x14ac:dyDescent="0.25">
      <c r="B214" s="2" t="s">
        <v>321</v>
      </c>
      <c r="C214" s="6">
        <v>0.4</v>
      </c>
      <c r="D214" s="93">
        <f>(1-C214)*(X195+W195+V195+U195+U194)</f>
        <v>305.54976666666647</v>
      </c>
      <c r="E214" s="6">
        <f>D214/$D215</f>
        <v>4.4157593676861062E-2</v>
      </c>
      <c r="F214" s="1">
        <v>7</v>
      </c>
      <c r="G214" s="9"/>
      <c r="H214" s="9"/>
      <c r="I214" s="9"/>
      <c r="J214" s="9"/>
      <c r="K214" s="9"/>
      <c r="L214" s="9"/>
      <c r="M214" s="9"/>
      <c r="N214" s="9">
        <f>M213*$D$191*$D$190</f>
        <v>1335.7631953429341</v>
      </c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100"/>
      <c r="AK214" s="9"/>
      <c r="AL214" s="9"/>
      <c r="AM214" s="9"/>
      <c r="AN214" s="9"/>
    </row>
    <row r="215" spans="2:40" x14ac:dyDescent="0.25">
      <c r="B215" s="2" t="s">
        <v>322</v>
      </c>
      <c r="C215" s="2"/>
      <c r="D215" s="93">
        <f>SUM(D209:D214)</f>
        <v>6919.5293770452226</v>
      </c>
      <c r="F215" s="1">
        <v>8</v>
      </c>
      <c r="G215" s="9"/>
      <c r="H215" s="9"/>
      <c r="I215" s="9"/>
      <c r="J215" s="9"/>
      <c r="K215" s="9"/>
      <c r="L215" s="9"/>
      <c r="M215" s="9"/>
      <c r="N215" s="9"/>
      <c r="O215" s="9">
        <f>N214*$D$191*$D$190</f>
        <v>1825.5430336353431</v>
      </c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100"/>
      <c r="AK215" s="9"/>
      <c r="AL215" s="9"/>
      <c r="AM215" s="9"/>
      <c r="AN215" s="9"/>
    </row>
    <row r="216" spans="2:40" x14ac:dyDescent="0.25">
      <c r="B216" s="2"/>
      <c r="C216" s="2"/>
      <c r="D216" s="93"/>
      <c r="F216" s="1">
        <v>9</v>
      </c>
      <c r="G216" s="9"/>
      <c r="H216" s="9"/>
      <c r="I216" s="9"/>
      <c r="J216" s="9"/>
      <c r="K216" s="9"/>
      <c r="L216" s="9"/>
      <c r="M216" s="9"/>
      <c r="N216" s="9"/>
      <c r="O216" s="9"/>
      <c r="P216" s="9">
        <f>O215*$D$191*$D$190</f>
        <v>2494.9088126349684</v>
      </c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100"/>
      <c r="AK216" s="9"/>
      <c r="AL216" s="9"/>
      <c r="AM216" s="9"/>
      <c r="AN216" s="9"/>
    </row>
    <row r="217" spans="2:40" x14ac:dyDescent="0.25">
      <c r="B217" s="2" t="s">
        <v>342</v>
      </c>
      <c r="C217" s="6">
        <v>-5.8000000000000003E-2</v>
      </c>
      <c r="D217" s="93">
        <f>(1-C217)*(AJ236*2/3)</f>
        <v>909287.30074360315</v>
      </c>
      <c r="E217" s="6">
        <f>D217/$D223</f>
        <v>0.2200855509793137</v>
      </c>
      <c r="F217" s="1">
        <v>10</v>
      </c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>
        <f>P216*$D$191*$D$190</f>
        <v>3409.7087106011231</v>
      </c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100"/>
      <c r="AK217" s="9"/>
      <c r="AL217" s="9"/>
      <c r="AM217" s="9"/>
      <c r="AN217" s="9"/>
    </row>
    <row r="218" spans="2:40" x14ac:dyDescent="0.25">
      <c r="B218" s="2" t="s">
        <v>343</v>
      </c>
      <c r="C218" s="6">
        <v>-0.01</v>
      </c>
      <c r="D218" s="93">
        <f>(1-C218)*(AJ236/3+AI235/4)</f>
        <v>672197.20864483132</v>
      </c>
      <c r="E218" s="6">
        <f>D218/$D223</f>
        <v>0.16269983415623454</v>
      </c>
      <c r="F218" s="1">
        <v>11</v>
      </c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>
        <f>Q217*$D$191*$D$190</f>
        <v>4659.9352378215344</v>
      </c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100"/>
      <c r="AK218" s="9"/>
      <c r="AL218" s="9"/>
      <c r="AM218" s="9"/>
      <c r="AN218" s="9"/>
    </row>
    <row r="219" spans="2:40" x14ac:dyDescent="0.25">
      <c r="B219" s="2" t="s">
        <v>344</v>
      </c>
      <c r="C219" s="6">
        <v>0</v>
      </c>
      <c r="D219" s="93">
        <f>(1-C219)*(AH234+AI235*3/4)</f>
        <v>1397676.1055721319</v>
      </c>
      <c r="E219" s="6">
        <f>D219/$D223</f>
        <v>0.33829606498837722</v>
      </c>
      <c r="F219" s="1">
        <v>12</v>
      </c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>
        <f>R218*$D$191*$D$190</f>
        <v>6368.5781583560965</v>
      </c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100"/>
      <c r="AK219" s="9"/>
      <c r="AL219" s="9"/>
      <c r="AM219" s="9"/>
      <c r="AN219" s="9"/>
    </row>
    <row r="220" spans="2:40" x14ac:dyDescent="0.25">
      <c r="B220" s="2" t="s">
        <v>345</v>
      </c>
      <c r="C220" s="6">
        <v>0</v>
      </c>
      <c r="D220" s="93">
        <f>(1-C220)*(AG233+AF232/3)</f>
        <v>628210.5570685768</v>
      </c>
      <c r="E220" s="6">
        <f>D220/$D223</f>
        <v>0.15205322505922172</v>
      </c>
      <c r="F220" s="1">
        <v>13</v>
      </c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>
        <f>S219*$D$191*$D$190</f>
        <v>8703.7234830866637</v>
      </c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100"/>
      <c r="AK220" s="9"/>
      <c r="AL220" s="9"/>
      <c r="AM220" s="9"/>
      <c r="AN220" s="9"/>
    </row>
    <row r="221" spans="2:40" x14ac:dyDescent="0.25">
      <c r="B221" s="2" t="s">
        <v>346</v>
      </c>
      <c r="C221" s="6">
        <v>0.15</v>
      </c>
      <c r="D221" s="93">
        <f>(1-C221)*(AE231/2+AF232*2/3)</f>
        <v>324320.08434028155</v>
      </c>
      <c r="E221" s="6">
        <f>D221/$D223</f>
        <v>7.8499022693175449E-2</v>
      </c>
      <c r="F221" s="1">
        <v>14</v>
      </c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>
        <f>T220*$D$191*$D$190</f>
        <v>11895.088760218439</v>
      </c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100"/>
      <c r="AK221" s="9"/>
      <c r="AL221" s="9"/>
      <c r="AM221" s="9"/>
      <c r="AN221" s="9"/>
    </row>
    <row r="222" spans="2:40" x14ac:dyDescent="0.25">
      <c r="B222" s="2" t="s">
        <v>347</v>
      </c>
      <c r="C222" s="6">
        <v>0.4</v>
      </c>
      <c r="D222" s="93">
        <f>(1-C222)*(AD230+AE231/2)</f>
        <v>199826.22261795722</v>
      </c>
      <c r="E222" s="6">
        <f>D222/$D223</f>
        <v>4.8366302123677277E-2</v>
      </c>
      <c r="F222" s="1">
        <v>15</v>
      </c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>
        <f>U221*$D$191*$D$190</f>
        <v>16256.621305631867</v>
      </c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100"/>
      <c r="AK222" s="9"/>
      <c r="AL222" s="9"/>
      <c r="AM222" s="9"/>
      <c r="AN222" s="9"/>
    </row>
    <row r="223" spans="2:40" x14ac:dyDescent="0.25">
      <c r="B223" s="2" t="s">
        <v>348</v>
      </c>
      <c r="C223" s="2"/>
      <c r="D223" s="93">
        <f>SUM(D217:D222)</f>
        <v>4131517.4789873823</v>
      </c>
      <c r="F223" s="1">
        <v>16</v>
      </c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>
        <f>V222*$D$191*$D$190</f>
        <v>22217.382451030215</v>
      </c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100"/>
      <c r="AK223" s="9"/>
      <c r="AL223" s="9"/>
      <c r="AM223" s="9"/>
      <c r="AN223" s="9"/>
    </row>
    <row r="224" spans="2:40" x14ac:dyDescent="0.25">
      <c r="B224" s="2"/>
      <c r="C224" s="2"/>
      <c r="D224" s="77"/>
      <c r="F224" s="1">
        <v>17</v>
      </c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>
        <f>W223*$D$191*$D$190</f>
        <v>30363.756016407959</v>
      </c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100"/>
      <c r="AK224" s="9"/>
      <c r="AL224" s="9"/>
      <c r="AM224" s="9"/>
      <c r="AN224" s="9"/>
    </row>
    <row r="225" spans="2:40" x14ac:dyDescent="0.25">
      <c r="B225" s="2" t="s">
        <v>350</v>
      </c>
      <c r="C225" s="2" t="s">
        <v>349</v>
      </c>
      <c r="D225" s="93" t="s">
        <v>8</v>
      </c>
      <c r="F225" s="1">
        <v>18</v>
      </c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>
        <f>X224*$D$191*$D$190</f>
        <v>41497.133222424207</v>
      </c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100"/>
      <c r="AK225" s="9"/>
      <c r="AL225" s="9"/>
      <c r="AM225" s="9"/>
      <c r="AN225" s="9"/>
    </row>
    <row r="226" spans="2:40" x14ac:dyDescent="0.25">
      <c r="B226" s="2">
        <v>200</v>
      </c>
      <c r="C226" s="88" t="str">
        <f>ROUND((B226-$M$9)/$N$9+0.5,1) &amp;" to "&amp; ROUND(B226/$N$9-0.5,1)</f>
        <v>-3.6 to 1</v>
      </c>
      <c r="D226" s="93">
        <f>SUMPRODUCT($G$191*($D$190*$D$191)^({0.5,1}))</f>
        <v>380.35677916750177</v>
      </c>
      <c r="F226" s="1">
        <v>19</v>
      </c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>
        <f>Y225*$D$191*$D$190</f>
        <v>56712.748737313072</v>
      </c>
      <c r="AA226" s="9"/>
      <c r="AB226" s="9"/>
      <c r="AC226" s="9"/>
      <c r="AD226" s="9"/>
      <c r="AE226" s="9"/>
      <c r="AF226" s="9"/>
      <c r="AG226" s="9"/>
      <c r="AH226" s="9"/>
      <c r="AI226" s="9"/>
      <c r="AJ226" s="100"/>
      <c r="AK226" s="9"/>
      <c r="AL226" s="9"/>
      <c r="AM226" s="9"/>
      <c r="AN226" s="9"/>
    </row>
    <row r="227" spans="2:40" x14ac:dyDescent="0.25">
      <c r="B227" s="2">
        <v>400</v>
      </c>
      <c r="C227" s="88" t="str">
        <f>ROUND((B227-$M$9)/$N$9+0.5,1) &amp;" to "&amp; ROUND(B227/$N$9-0.5,1)</f>
        <v>-2.1 to 2.5</v>
      </c>
      <c r="D227" s="93">
        <f>SUMPRODUCT($G$191*($D$190*$D$191)^({1,2,2.5}))</f>
        <v>812.69416197841156</v>
      </c>
      <c r="F227" s="1">
        <v>20</v>
      </c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>
        <f>Z226*$D$191*$D$190</f>
        <v>77507.423274327841</v>
      </c>
      <c r="AB227" s="9"/>
      <c r="AC227" s="9"/>
      <c r="AD227" s="9"/>
      <c r="AE227" s="9"/>
      <c r="AF227" s="9"/>
      <c r="AG227" s="9"/>
      <c r="AH227" s="9"/>
      <c r="AI227" s="9"/>
      <c r="AJ227" s="100"/>
      <c r="AK227" s="9"/>
      <c r="AL227" s="9"/>
      <c r="AM227" s="9"/>
      <c r="AN227" s="9"/>
    </row>
    <row r="228" spans="2:40" x14ac:dyDescent="0.25">
      <c r="B228" s="2">
        <v>1200</v>
      </c>
      <c r="C228" s="88" t="str">
        <f>ROUND((B228-$M$9)/$N$9+0.5,1) &amp;" to "&amp; ROUND(B228/$N$9-0.5,1)</f>
        <v>3.9 to 8.5</v>
      </c>
      <c r="D228" s="93">
        <f>SUMPRODUCT($G$191*($D$190*$D$191)^({3.9,4.9,5.9,6.9,7.9,8.5}))</f>
        <v>7345.915011711817</v>
      </c>
      <c r="F228" s="1">
        <v>21</v>
      </c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>
        <f>AA227*$D$191*$D$190</f>
        <v>105926.81180824804</v>
      </c>
      <c r="AC228" s="9"/>
      <c r="AD228" s="9"/>
      <c r="AE228" s="9"/>
      <c r="AF228" s="9"/>
      <c r="AG228" s="9"/>
      <c r="AH228" s="9"/>
      <c r="AI228" s="9"/>
      <c r="AJ228" s="100"/>
      <c r="AK228" s="9"/>
      <c r="AL228" s="9"/>
      <c r="AM228" s="9"/>
      <c r="AN228" s="9"/>
    </row>
    <row r="229" spans="2:40" x14ac:dyDescent="0.25">
      <c r="B229" s="2">
        <v>3800</v>
      </c>
      <c r="C229" s="88" t="str">
        <f>ROUND((B229-$M$9)/$N$9+0.5,1) &amp;" to "&amp; ROUND(B229/$N$9-0.5,1)</f>
        <v>23.4 to 28.1</v>
      </c>
      <c r="D229" s="93">
        <f>SUMPRODUCT($G$191*($D$190*$D$191)^({23.4,24.4,25.4,26.4,27.4,28.1}))</f>
        <v>3276813.9599324064</v>
      </c>
      <c r="F229" s="1">
        <v>22</v>
      </c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>
        <f>AB228*$D$191*$D$190</f>
        <v>144766.64280460562</v>
      </c>
      <c r="AD229" s="9"/>
      <c r="AE229" s="9"/>
      <c r="AF229" s="9"/>
      <c r="AG229" s="9"/>
      <c r="AH229" s="9"/>
      <c r="AI229" s="9"/>
      <c r="AJ229" s="100"/>
      <c r="AK229" s="9"/>
      <c r="AL229" s="9"/>
      <c r="AM229" s="9"/>
      <c r="AN229" s="9"/>
    </row>
    <row r="230" spans="2:40" x14ac:dyDescent="0.25">
      <c r="F230" s="1">
        <v>23</v>
      </c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>
        <f>AC229*$D$191*$D$190</f>
        <v>197847.74516629431</v>
      </c>
      <c r="AE230" s="9"/>
      <c r="AF230" s="9"/>
      <c r="AG230" s="9"/>
      <c r="AH230" s="9"/>
      <c r="AI230" s="9"/>
      <c r="AJ230" s="100"/>
      <c r="AK230" s="9"/>
      <c r="AL230" s="9"/>
      <c r="AM230" s="9"/>
      <c r="AN230" s="9"/>
    </row>
    <row r="231" spans="2:40" x14ac:dyDescent="0.25">
      <c r="C231" s="9">
        <f>100*D189</f>
        <v>440.00000000000006</v>
      </c>
      <c r="F231" s="1">
        <v>24</v>
      </c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>
        <f>AD230*$D$191*$D$190</f>
        <v>270391.91839393554</v>
      </c>
      <c r="AF231" s="9"/>
      <c r="AG231" s="9"/>
      <c r="AH231" s="9"/>
      <c r="AI231" s="9"/>
      <c r="AJ231" s="100"/>
      <c r="AK231" s="9"/>
      <c r="AL231" s="9"/>
      <c r="AM231" s="9"/>
      <c r="AN231" s="9"/>
    </row>
    <row r="232" spans="2:40" x14ac:dyDescent="0.25">
      <c r="B232" s="2" t="s">
        <v>278</v>
      </c>
      <c r="C232" s="9">
        <f>C231*(1+C193)</f>
        <v>414.48</v>
      </c>
      <c r="D232" s="2" t="str">
        <f>ROUND((1-C193)*C231-C231,0)&amp;" die as children"</f>
        <v>26 die as children</v>
      </c>
      <c r="E232" s="6">
        <f>(C231-C232)/C231</f>
        <v>5.8000000000000079E-2</v>
      </c>
      <c r="F232" s="1">
        <v>25</v>
      </c>
      <c r="AF232" s="9">
        <f>AE231*$D$191*$D$190</f>
        <v>369535.62180504523</v>
      </c>
      <c r="AJ232" s="100"/>
    </row>
    <row r="233" spans="2:40" x14ac:dyDescent="0.25">
      <c r="B233" s="2" t="s">
        <v>383</v>
      </c>
      <c r="C233" s="9">
        <f>C232*(1+C194)</f>
        <v>410.33519999999999</v>
      </c>
      <c r="D233" s="2" t="str">
        <f>ROUND((1-C194)*C232-C232,0)&amp;" die before being able to procreate"</f>
        <v>4 die before being able to procreate</v>
      </c>
      <c r="E233" s="6">
        <f>(C232-C233)/C231</f>
        <v>9.4200000000000707E-3</v>
      </c>
      <c r="F233" s="1">
        <v>26</v>
      </c>
      <c r="AF233" s="9"/>
      <c r="AG233" s="9">
        <f>AF232*$D$191*$D$190</f>
        <v>505032.01646689512</v>
      </c>
      <c r="AJ233" s="100"/>
    </row>
    <row r="234" spans="2:40" x14ac:dyDescent="0.25">
      <c r="B234" s="2" t="s">
        <v>384</v>
      </c>
      <c r="C234" s="9">
        <f>C233</f>
        <v>410.33519999999999</v>
      </c>
      <c r="D234" s="2" t="str">
        <f>ROUND(C234-(1-C195)*C234,0)&amp;" die before being mature"</f>
        <v>0 die before being mature</v>
      </c>
      <c r="E234" s="6">
        <f>(C233-C234)/C231</f>
        <v>0</v>
      </c>
      <c r="F234" s="1">
        <v>27</v>
      </c>
      <c r="AF234" s="9"/>
      <c r="AH234" s="9">
        <f>AG233*$D$191*$D$190</f>
        <v>690210.42250475648</v>
      </c>
      <c r="AJ234" s="100"/>
    </row>
    <row r="235" spans="2:40" x14ac:dyDescent="0.25">
      <c r="B235" s="2" t="s">
        <v>280</v>
      </c>
      <c r="C235" s="9">
        <f>C234*(1-C195)</f>
        <v>410.33519999999999</v>
      </c>
      <c r="D235" s="2" t="str">
        <f>ROUND(C235-(1-C196)*C235,0)&amp;" die before being middle-age"</f>
        <v>0 die before being middle-age</v>
      </c>
      <c r="E235" s="6">
        <f>(C235-C236)/C231</f>
        <v>0</v>
      </c>
      <c r="F235" s="1">
        <v>28</v>
      </c>
      <c r="AF235" s="9"/>
      <c r="AI235" s="9">
        <f>AH234*$D$191*$D$190</f>
        <v>943287.57742316707</v>
      </c>
      <c r="AJ235" s="100"/>
    </row>
    <row r="236" spans="2:40" x14ac:dyDescent="0.25">
      <c r="B236" s="2" t="s">
        <v>281</v>
      </c>
      <c r="C236" s="9">
        <f>C235*(1-C196)</f>
        <v>410.33519999999999</v>
      </c>
      <c r="D236" s="2" t="str">
        <f>ROUND(C236-(1-C197)*C236,0)&amp;" die before being old"</f>
        <v>62 die before being old</v>
      </c>
      <c r="E236" s="6">
        <f>(C236-C237)/C231</f>
        <v>0.13988699999999996</v>
      </c>
      <c r="F236" s="100">
        <v>29</v>
      </c>
      <c r="G236" s="100"/>
      <c r="H236" s="100"/>
      <c r="I236" s="100"/>
      <c r="J236" s="100"/>
      <c r="K236" s="100"/>
      <c r="L236" s="100"/>
      <c r="M236" s="100"/>
      <c r="N236" s="100"/>
      <c r="O236" s="100"/>
      <c r="P236" s="100"/>
      <c r="Q236" s="100"/>
      <c r="R236" s="100"/>
      <c r="S236" s="100"/>
      <c r="T236" s="100"/>
      <c r="U236" s="100"/>
      <c r="V236" s="100"/>
      <c r="W236" s="100"/>
      <c r="X236" s="100"/>
      <c r="Y236" s="100"/>
      <c r="Z236" s="100"/>
      <c r="AA236" s="100"/>
      <c r="AB236" s="100"/>
      <c r="AC236" s="100"/>
      <c r="AD236" s="100"/>
      <c r="AE236" s="100"/>
      <c r="AF236" s="100"/>
      <c r="AG236" s="100"/>
      <c r="AH236" s="100"/>
      <c r="AI236" s="100"/>
      <c r="AJ236" s="100">
        <f>AI235*$D$191*$D$190</f>
        <v>1289159.6891449948</v>
      </c>
    </row>
    <row r="237" spans="2:40" x14ac:dyDescent="0.25">
      <c r="B237" s="2" t="s">
        <v>375</v>
      </c>
      <c r="C237" s="9">
        <f>C236*(1-C197)</f>
        <v>348.78492</v>
      </c>
      <c r="D237" s="2" t="str">
        <f>ROUND(C237-(1-C198)*C237,0)&amp;" die before being venerable"</f>
        <v>140 die before being venerable</v>
      </c>
      <c r="E237" s="6">
        <f>(C237-C238)/C231</f>
        <v>0.31707719999999995</v>
      </c>
      <c r="AF237" s="9"/>
      <c r="AK237" s="9"/>
    </row>
    <row r="238" spans="2:40" x14ac:dyDescent="0.25">
      <c r="B238" s="2" t="s">
        <v>283</v>
      </c>
      <c r="C238" s="9">
        <f>C237*(1-C198)</f>
        <v>209.27095199999999</v>
      </c>
      <c r="E238" s="6">
        <f>C238/C231</f>
        <v>0.47561579999999992</v>
      </c>
      <c r="AF238" s="9"/>
      <c r="AL238" s="9"/>
    </row>
    <row r="239" spans="2:40" x14ac:dyDescent="0.25">
      <c r="AF239" s="9"/>
      <c r="AM239" s="9"/>
    </row>
    <row r="240" spans="2:40" x14ac:dyDescent="0.25">
      <c r="AF240" s="9"/>
      <c r="AN240" s="9"/>
    </row>
    <row r="243" spans="1:73" ht="15.5" x14ac:dyDescent="0.35">
      <c r="A243" s="11" t="s">
        <v>115</v>
      </c>
      <c r="B243" s="1" t="s">
        <v>329</v>
      </c>
      <c r="D243" s="1">
        <v>3.2</v>
      </c>
      <c r="E243" s="84"/>
      <c r="G243" s="76" t="s">
        <v>331</v>
      </c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73" ht="15.5" x14ac:dyDescent="0.35">
      <c r="A244" s="11"/>
      <c r="B244" s="1" t="s">
        <v>330</v>
      </c>
      <c r="D244" s="1">
        <v>2.5</v>
      </c>
      <c r="E244" s="6">
        <f>D244/D243</f>
        <v>0.78125</v>
      </c>
      <c r="F244" s="76" t="s">
        <v>301</v>
      </c>
      <c r="G244" s="85">
        <v>0</v>
      </c>
      <c r="H244" s="86">
        <f>G244+$N$11/2</f>
        <v>19.5</v>
      </c>
      <c r="I244" s="86">
        <f t="shared" ref="I244:BP244" si="88">H244+$N$11/2</f>
        <v>39</v>
      </c>
      <c r="J244" s="86">
        <f t="shared" si="88"/>
        <v>58.5</v>
      </c>
      <c r="K244" s="86">
        <f t="shared" si="88"/>
        <v>78</v>
      </c>
      <c r="L244" s="86">
        <f t="shared" si="88"/>
        <v>97.5</v>
      </c>
      <c r="M244" s="86">
        <f t="shared" si="88"/>
        <v>117</v>
      </c>
      <c r="N244" s="86">
        <f t="shared" si="88"/>
        <v>136.5</v>
      </c>
      <c r="O244" s="86">
        <f t="shared" si="88"/>
        <v>156</v>
      </c>
      <c r="P244" s="86">
        <f t="shared" si="88"/>
        <v>175.5</v>
      </c>
      <c r="Q244" s="86">
        <f t="shared" si="88"/>
        <v>195</v>
      </c>
      <c r="R244" s="86">
        <f t="shared" si="88"/>
        <v>214.5</v>
      </c>
      <c r="S244" s="86">
        <f t="shared" si="88"/>
        <v>234</v>
      </c>
      <c r="T244" s="86">
        <f t="shared" si="88"/>
        <v>253.5</v>
      </c>
      <c r="U244" s="86">
        <f t="shared" si="88"/>
        <v>273</v>
      </c>
      <c r="V244" s="86">
        <f t="shared" si="88"/>
        <v>292.5</v>
      </c>
      <c r="W244" s="86">
        <f t="shared" si="88"/>
        <v>312</v>
      </c>
      <c r="X244" s="86">
        <f t="shared" si="88"/>
        <v>331.5</v>
      </c>
      <c r="Y244" s="86">
        <f t="shared" si="88"/>
        <v>351</v>
      </c>
      <c r="Z244" s="86">
        <f t="shared" si="88"/>
        <v>370.5</v>
      </c>
      <c r="AA244" s="86">
        <f t="shared" si="88"/>
        <v>390</v>
      </c>
      <c r="AB244" s="86">
        <f t="shared" si="88"/>
        <v>409.5</v>
      </c>
      <c r="AC244" s="86">
        <f t="shared" si="88"/>
        <v>429</v>
      </c>
      <c r="AD244" s="86">
        <f t="shared" si="88"/>
        <v>448.5</v>
      </c>
      <c r="AE244" s="86">
        <f t="shared" si="88"/>
        <v>468</v>
      </c>
      <c r="AF244" s="86">
        <f t="shared" si="88"/>
        <v>487.5</v>
      </c>
      <c r="AG244" s="86">
        <f t="shared" si="88"/>
        <v>507</v>
      </c>
      <c r="AH244" s="86">
        <f t="shared" si="88"/>
        <v>526.5</v>
      </c>
      <c r="AI244" s="86">
        <f t="shared" si="88"/>
        <v>546</v>
      </c>
      <c r="AJ244" s="86">
        <f t="shared" si="88"/>
        <v>565.5</v>
      </c>
      <c r="AK244" s="86">
        <f t="shared" si="88"/>
        <v>585</v>
      </c>
      <c r="AL244" s="86">
        <f t="shared" si="88"/>
        <v>604.5</v>
      </c>
      <c r="AM244" s="86">
        <f t="shared" si="88"/>
        <v>624</v>
      </c>
      <c r="AN244" s="86">
        <f t="shared" si="88"/>
        <v>643.5</v>
      </c>
      <c r="AO244" s="86">
        <f t="shared" si="88"/>
        <v>663</v>
      </c>
      <c r="AP244" s="86">
        <f t="shared" si="88"/>
        <v>682.5</v>
      </c>
      <c r="AQ244" s="86">
        <f t="shared" si="88"/>
        <v>702</v>
      </c>
      <c r="AR244" s="86">
        <f t="shared" si="88"/>
        <v>721.5</v>
      </c>
      <c r="AS244" s="86">
        <f t="shared" si="88"/>
        <v>741</v>
      </c>
      <c r="AT244" s="86">
        <f t="shared" si="88"/>
        <v>760.5</v>
      </c>
      <c r="AU244" s="86">
        <f t="shared" si="88"/>
        <v>780</v>
      </c>
      <c r="AV244" s="86">
        <f t="shared" si="88"/>
        <v>799.5</v>
      </c>
      <c r="AW244" s="86">
        <f t="shared" si="88"/>
        <v>819</v>
      </c>
      <c r="AX244" s="86">
        <f t="shared" si="88"/>
        <v>838.5</v>
      </c>
      <c r="AY244" s="86">
        <f t="shared" si="88"/>
        <v>858</v>
      </c>
      <c r="AZ244" s="86">
        <f t="shared" si="88"/>
        <v>877.5</v>
      </c>
      <c r="BA244" s="86">
        <f t="shared" si="88"/>
        <v>897</v>
      </c>
      <c r="BB244" s="86">
        <f t="shared" si="88"/>
        <v>916.5</v>
      </c>
      <c r="BC244" s="86">
        <f t="shared" si="88"/>
        <v>936</v>
      </c>
      <c r="BD244" s="86">
        <f t="shared" si="88"/>
        <v>955.5</v>
      </c>
      <c r="BE244" s="86">
        <f t="shared" si="88"/>
        <v>975</v>
      </c>
      <c r="BF244" s="86">
        <f t="shared" si="88"/>
        <v>994.5</v>
      </c>
      <c r="BG244" s="86">
        <f t="shared" si="88"/>
        <v>1014</v>
      </c>
      <c r="BH244" s="86">
        <f t="shared" si="88"/>
        <v>1033.5</v>
      </c>
      <c r="BI244" s="86">
        <f t="shared" si="88"/>
        <v>1053</v>
      </c>
      <c r="BJ244" s="86">
        <f t="shared" si="88"/>
        <v>1072.5</v>
      </c>
      <c r="BK244" s="86">
        <f t="shared" si="88"/>
        <v>1092</v>
      </c>
      <c r="BL244" s="86">
        <f t="shared" si="88"/>
        <v>1111.5</v>
      </c>
      <c r="BM244" s="86">
        <f t="shared" si="88"/>
        <v>1131</v>
      </c>
      <c r="BN244" s="86">
        <f t="shared" si="88"/>
        <v>1150.5</v>
      </c>
      <c r="BO244" s="86">
        <f t="shared" si="88"/>
        <v>1170</v>
      </c>
      <c r="BP244" s="86">
        <f t="shared" si="88"/>
        <v>1189.5</v>
      </c>
      <c r="BQ244" s="88"/>
      <c r="BR244" s="88"/>
      <c r="BS244" s="88"/>
      <c r="BT244" s="88"/>
      <c r="BU244" s="88"/>
    </row>
    <row r="245" spans="1:73" ht="15.5" x14ac:dyDescent="0.35">
      <c r="A245" s="11"/>
      <c r="B245" s="2" t="s">
        <v>390</v>
      </c>
      <c r="D245" s="1">
        <v>0.5</v>
      </c>
      <c r="F245" s="1">
        <v>0</v>
      </c>
      <c r="G245" s="9">
        <f>50/D245</f>
        <v>100</v>
      </c>
      <c r="H245" s="9"/>
      <c r="I245" s="9"/>
      <c r="J245" s="9"/>
      <c r="K245" s="9"/>
      <c r="L245" s="9"/>
      <c r="M245" s="9"/>
      <c r="N245" s="9"/>
      <c r="O245" s="9"/>
      <c r="P245" s="9"/>
      <c r="Q245" s="82"/>
      <c r="R245" s="9"/>
      <c r="S245" s="9"/>
      <c r="T245" s="9"/>
      <c r="U245" s="9"/>
      <c r="V245" s="9"/>
      <c r="W245" s="9"/>
      <c r="X245" s="9"/>
      <c r="Y245" s="9"/>
      <c r="Z245" s="9"/>
      <c r="AA245" s="95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P245" s="91"/>
    </row>
    <row r="246" spans="1:73" ht="15.5" x14ac:dyDescent="0.35">
      <c r="A246" s="11"/>
      <c r="C246" s="2" t="s">
        <v>335</v>
      </c>
      <c r="F246" s="1">
        <v>1</v>
      </c>
      <c r="G246" s="9"/>
      <c r="H246" s="9">
        <f>G245*$D$245*$D$244/6</f>
        <v>20.833333333333332</v>
      </c>
      <c r="I246" s="9">
        <f>G245*$D$245*4/6*$D$244</f>
        <v>83.333333333333343</v>
      </c>
      <c r="J246" s="9">
        <f>G245*$D$245*$D$244/6</f>
        <v>20.833333333333332</v>
      </c>
      <c r="K246" s="9"/>
      <c r="L246" s="9"/>
      <c r="M246" s="9"/>
      <c r="N246" s="9"/>
      <c r="O246" s="9"/>
      <c r="P246" s="9"/>
      <c r="Q246" s="82"/>
      <c r="R246" s="9"/>
      <c r="S246" s="9"/>
      <c r="T246" s="9"/>
      <c r="U246" s="9"/>
      <c r="V246" s="9"/>
      <c r="W246" s="9"/>
      <c r="X246" s="9"/>
      <c r="Y246" s="9"/>
      <c r="Z246" s="9"/>
      <c r="AA246" s="95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P246" s="91"/>
    </row>
    <row r="247" spans="1:73" ht="15.5" x14ac:dyDescent="0.35">
      <c r="A247" s="11"/>
      <c r="B247" s="2" t="s">
        <v>302</v>
      </c>
      <c r="C247" s="6">
        <v>-0.185</v>
      </c>
      <c r="D247" s="93">
        <f>(1-C247)*(Q250+P249/2+P250/2)</f>
        <v>295.33386230468761</v>
      </c>
      <c r="E247" s="6">
        <f>D247/$D253</f>
        <v>0.29025667357903956</v>
      </c>
      <c r="F247" s="1">
        <v>2</v>
      </c>
      <c r="G247" s="9"/>
      <c r="H247" s="9"/>
      <c r="I247" s="9"/>
      <c r="J247" s="9">
        <f>H246*$D$245*$D$244</f>
        <v>26.041666666666664</v>
      </c>
      <c r="K247" s="9">
        <f>I246*$D$245*$D$244</f>
        <v>104.16666666666669</v>
      </c>
      <c r="L247" s="9">
        <f>J246*$D$245*$D$244</f>
        <v>26.041666666666664</v>
      </c>
      <c r="M247" s="9"/>
      <c r="N247" s="9"/>
      <c r="O247" s="9"/>
      <c r="P247" s="9"/>
      <c r="Q247" s="82"/>
      <c r="R247" s="9"/>
      <c r="S247" s="9"/>
      <c r="T247" s="9"/>
      <c r="U247" s="9"/>
      <c r="V247" s="9"/>
      <c r="W247" s="9"/>
      <c r="X247" s="9"/>
      <c r="Y247" s="9"/>
      <c r="Z247" s="9"/>
      <c r="AA247" s="95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P247" s="91"/>
    </row>
    <row r="248" spans="1:73" ht="15.5" x14ac:dyDescent="0.35">
      <c r="A248" s="11"/>
      <c r="B248" s="2" t="s">
        <v>303</v>
      </c>
      <c r="C248" s="6">
        <v>-0.04</v>
      </c>
      <c r="D248" s="93">
        <f>(1-C248)*(P250/2+P249/2+O249/2)</f>
        <v>132.24283854166669</v>
      </c>
      <c r="E248" s="6">
        <f>D248/D253</f>
        <v>0.12996940520201544</v>
      </c>
      <c r="F248" s="1">
        <v>3</v>
      </c>
      <c r="G248" s="9"/>
      <c r="H248" s="9"/>
      <c r="I248" s="9"/>
      <c r="J248" s="9"/>
      <c r="K248" s="9"/>
      <c r="L248" s="9">
        <f>J247*$D$245*$D$244</f>
        <v>32.552083333333329</v>
      </c>
      <c r="M248" s="9">
        <f>K247*$D$245*$D$244</f>
        <v>130.20833333333337</v>
      </c>
      <c r="N248" s="9">
        <f>L247*$D$245*$D$244</f>
        <v>32.552083333333329</v>
      </c>
      <c r="O248" s="9"/>
      <c r="P248" s="9"/>
      <c r="Q248" s="82"/>
      <c r="R248" s="9"/>
      <c r="S248" s="9"/>
      <c r="T248" s="9"/>
      <c r="U248" s="9"/>
      <c r="V248" s="9"/>
      <c r="W248" s="9"/>
      <c r="X248" s="9"/>
      <c r="Y248" s="9"/>
      <c r="Z248" s="9"/>
      <c r="AA248" s="95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P248" s="91"/>
    </row>
    <row r="249" spans="1:73" ht="15.5" x14ac:dyDescent="0.35">
      <c r="A249" s="11"/>
      <c r="B249" s="2" t="s">
        <v>304</v>
      </c>
      <c r="C249" s="6">
        <v>0</v>
      </c>
      <c r="D249" s="93">
        <f>(1-C249)*(O249/2+N248+N249)</f>
        <v>154.62239583333334</v>
      </c>
      <c r="E249" s="6">
        <f>D249/D253</f>
        <v>0.15196422762081804</v>
      </c>
      <c r="F249" s="1">
        <v>4</v>
      </c>
      <c r="G249" s="9"/>
      <c r="H249" s="9"/>
      <c r="I249" s="9"/>
      <c r="J249" s="9"/>
      <c r="K249" s="9"/>
      <c r="L249" s="9"/>
      <c r="M249" s="9"/>
      <c r="N249" s="9">
        <f>L248*$D$245*$D$244</f>
        <v>40.690104166666657</v>
      </c>
      <c r="O249" s="9">
        <f>M248*$D$245*$D$244</f>
        <v>162.76041666666671</v>
      </c>
      <c r="P249" s="9">
        <f>N248*$D$245*$D$244</f>
        <v>40.690104166666657</v>
      </c>
      <c r="Q249" s="82"/>
      <c r="R249" s="9"/>
      <c r="S249" s="9"/>
      <c r="T249" s="9"/>
      <c r="U249" s="9"/>
      <c r="V249" s="9"/>
      <c r="W249" s="9"/>
      <c r="X249" s="9"/>
      <c r="Y249" s="9"/>
      <c r="Z249" s="9"/>
      <c r="AA249" s="95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P249" s="91"/>
    </row>
    <row r="250" spans="1:73" ht="15.5" x14ac:dyDescent="0.35">
      <c r="A250" s="11"/>
      <c r="B250" s="2" t="s">
        <v>305</v>
      </c>
      <c r="C250" s="6">
        <v>0</v>
      </c>
      <c r="D250" s="93">
        <f>(1-C250)*(M248+L247/2+L248/2)</f>
        <v>159.50520833333337</v>
      </c>
      <c r="E250" s="6">
        <f>D250/D253</f>
        <v>0.15676309796673862</v>
      </c>
      <c r="F250" s="82">
        <v>5</v>
      </c>
      <c r="G250" s="82"/>
      <c r="H250" s="82"/>
      <c r="I250" s="82"/>
      <c r="J250" s="82"/>
      <c r="K250" s="82"/>
      <c r="L250" s="82"/>
      <c r="M250" s="82"/>
      <c r="N250" s="82"/>
      <c r="O250" s="82"/>
      <c r="P250" s="82">
        <f>N249*$D$245*$D$244</f>
        <v>50.862630208333321</v>
      </c>
      <c r="Q250" s="82">
        <f>O249*$D$245*$D$244</f>
        <v>203.4505208333334</v>
      </c>
      <c r="R250" s="9">
        <f>P249*$D$245*$D$244</f>
        <v>50.862630208333321</v>
      </c>
      <c r="S250" s="9"/>
      <c r="T250" s="9"/>
      <c r="U250" s="9"/>
      <c r="V250" s="9"/>
      <c r="W250" s="9"/>
      <c r="X250" s="9"/>
      <c r="Y250" s="9"/>
      <c r="Z250" s="9"/>
      <c r="AA250" s="95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P250" s="91"/>
    </row>
    <row r="251" spans="1:73" ht="15.5" x14ac:dyDescent="0.35">
      <c r="A251" s="11"/>
      <c r="B251" s="2" t="s">
        <v>306</v>
      </c>
      <c r="C251" s="6">
        <v>0.15</v>
      </c>
      <c r="D251" s="93">
        <f>(1-C251)*(L247/2+L248/2+K247+J246+J247)</f>
        <v>153.28776041666669</v>
      </c>
      <c r="E251" s="6">
        <f>D251/D253</f>
        <v>0.15065253639293308</v>
      </c>
      <c r="F251" s="1">
        <v>6</v>
      </c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>
        <f>P250*$D$245*$D$244</f>
        <v>63.57828776041665</v>
      </c>
      <c r="S251" s="9">
        <f>Q250*$D$245*$D$244</f>
        <v>254.31315104166674</v>
      </c>
      <c r="T251" s="9">
        <f>R250*$D$245*$D$244</f>
        <v>63.57828776041665</v>
      </c>
      <c r="U251" s="9"/>
      <c r="V251" s="9"/>
      <c r="W251" s="9"/>
      <c r="X251" s="9"/>
      <c r="Y251" s="9"/>
      <c r="Z251" s="9"/>
      <c r="AA251" s="95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P251" s="91"/>
    </row>
    <row r="252" spans="1:73" ht="15.5" x14ac:dyDescent="0.35">
      <c r="A252" s="11"/>
      <c r="B252" s="2" t="s">
        <v>307</v>
      </c>
      <c r="C252" s="6">
        <v>0.4</v>
      </c>
      <c r="D252" s="93">
        <f>(1-C252)*(I246+H246+G245)</f>
        <v>122.5</v>
      </c>
      <c r="E252" s="6">
        <f>D252/D253</f>
        <v>0.12039405923845524</v>
      </c>
      <c r="F252" s="1">
        <v>7</v>
      </c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>
        <f>R251*$D$245*$D$244</f>
        <v>79.472859700520814</v>
      </c>
      <c r="U252" s="9">
        <f>S251*$D$245*$D$244</f>
        <v>317.89143880208343</v>
      </c>
      <c r="V252" s="9">
        <f>T251*$D$245*$D$244</f>
        <v>79.472859700520814</v>
      </c>
      <c r="W252" s="9"/>
      <c r="X252" s="9"/>
      <c r="Y252" s="9"/>
      <c r="Z252" s="9"/>
      <c r="AA252" s="95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P252" s="91"/>
    </row>
    <row r="253" spans="1:73" ht="15.5" x14ac:dyDescent="0.35">
      <c r="A253" s="11"/>
      <c r="B253" s="2" t="s">
        <v>308</v>
      </c>
      <c r="C253" s="2"/>
      <c r="D253" s="93">
        <f>SUM(D247:D252)</f>
        <v>1017.4920654296877</v>
      </c>
      <c r="F253" s="1">
        <v>8</v>
      </c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>
        <f>T252*$D$245*$D$244</f>
        <v>99.341074625651018</v>
      </c>
      <c r="W253" s="9">
        <f>U252*$D$245*$D$244</f>
        <v>397.3642985026043</v>
      </c>
      <c r="X253" s="9">
        <f>V252*$D$245*$D$244</f>
        <v>99.341074625651018</v>
      </c>
      <c r="Y253" s="9"/>
      <c r="Z253" s="9"/>
      <c r="AA253" s="95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P253" s="91"/>
    </row>
    <row r="254" spans="1:73" ht="15.5" x14ac:dyDescent="0.35">
      <c r="A254" s="11"/>
      <c r="D254" s="93"/>
      <c r="F254" s="1">
        <v>9</v>
      </c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>
        <f>V253*$D$245*$D$244</f>
        <v>124.17634328206377</v>
      </c>
      <c r="Y254" s="9">
        <f>W253*$D$245*$D$244</f>
        <v>496.70537312825536</v>
      </c>
      <c r="Z254" s="9">
        <f>X253*$D$245*$D$244</f>
        <v>124.17634328206377</v>
      </c>
      <c r="AA254" s="95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P254" s="91"/>
    </row>
    <row r="255" spans="1:73" ht="15.5" x14ac:dyDescent="0.35">
      <c r="A255" s="11"/>
      <c r="B255" s="2" t="s">
        <v>309</v>
      </c>
      <c r="C255" s="6">
        <v>-0.185</v>
      </c>
      <c r="D255" s="93">
        <f>(1-C255)*(AA255)</f>
        <v>735.74483394622825</v>
      </c>
      <c r="E255" s="6">
        <f>D255/$D261</f>
        <v>0.25292453329554054</v>
      </c>
      <c r="F255" s="95">
        <v>10</v>
      </c>
      <c r="G255" s="95"/>
      <c r="H255" s="95"/>
      <c r="I255" s="95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95"/>
      <c r="W255" s="95"/>
      <c r="X255" s="95"/>
      <c r="Y255" s="95"/>
      <c r="Z255" s="95">
        <f>X254*$D$245*$D$244</f>
        <v>155.22042910257971</v>
      </c>
      <c r="AA255" s="95">
        <f>Y254*$D$245*$D$244</f>
        <v>620.8817164103192</v>
      </c>
      <c r="AB255" s="9">
        <f>Z254*$D$245*$D$244</f>
        <v>155.22042910257971</v>
      </c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P255" s="91"/>
    </row>
    <row r="256" spans="1:73" ht="15.5" x14ac:dyDescent="0.35">
      <c r="A256" s="11"/>
      <c r="B256" s="2" t="s">
        <v>310</v>
      </c>
      <c r="C256" s="6">
        <v>-0.04</v>
      </c>
      <c r="D256" s="93">
        <f>(1-C256)*(Z254+Z255)</f>
        <v>290.57264328002924</v>
      </c>
      <c r="E256" s="6">
        <f>D256/$D261</f>
        <v>9.9889182769884316E-2</v>
      </c>
      <c r="F256" s="1">
        <v>11</v>
      </c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>
        <f>Z255*$D$245*$D$244</f>
        <v>194.02553637822464</v>
      </c>
      <c r="AC256" s="9">
        <f>AA255*$D$245*$D$244</f>
        <v>776.10214551289903</v>
      </c>
      <c r="AD256" s="9">
        <f>AB255*$D$245*$D$244</f>
        <v>194.02553637822464</v>
      </c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P256" s="91"/>
    </row>
    <row r="257" spans="1:68" ht="15.5" x14ac:dyDescent="0.35">
      <c r="A257" s="11"/>
      <c r="B257" s="2" t="s">
        <v>311</v>
      </c>
      <c r="C257" s="6">
        <v>0</v>
      </c>
      <c r="D257" s="93">
        <f>(1-C257)*(Y254+X253/2+X254/2)</f>
        <v>608.46408208211278</v>
      </c>
      <c r="E257" s="6">
        <f>D257/$D261</f>
        <v>0.20916965622753561</v>
      </c>
      <c r="F257" s="1">
        <v>12</v>
      </c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>
        <f>AB256*$D$245*$D$244</f>
        <v>242.5319204727808</v>
      </c>
      <c r="AE257" s="9">
        <f>AC256*$D$245*$D$244</f>
        <v>970.12768189112376</v>
      </c>
      <c r="AF257" s="9">
        <f>AD256*$D$245*$D$244</f>
        <v>242.5319204727808</v>
      </c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P257" s="91"/>
    </row>
    <row r="258" spans="1:68" ht="15.5" x14ac:dyDescent="0.35">
      <c r="A258" s="11"/>
      <c r="B258" s="2" t="s">
        <v>312</v>
      </c>
      <c r="C258" s="6">
        <v>0</v>
      </c>
      <c r="D258" s="93">
        <f>(1-C258)*(X253/2+X254/2+W253)</f>
        <v>509.12300745646166</v>
      </c>
      <c r="E258" s="6">
        <f>D258/$D261</f>
        <v>0.17501950827201959</v>
      </c>
      <c r="F258" s="1">
        <v>13</v>
      </c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>
        <f>AD257*$D$245*$D$244</f>
        <v>303.164900590976</v>
      </c>
      <c r="AG258" s="9">
        <f>AE257*$D$245*$D$244</f>
        <v>1212.6596023639047</v>
      </c>
      <c r="AH258" s="9">
        <f>AF257*$D$245*$D$244</f>
        <v>303.164900590976</v>
      </c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P258" s="91"/>
    </row>
    <row r="259" spans="1:68" x14ac:dyDescent="0.25">
      <c r="B259" s="2" t="s">
        <v>313</v>
      </c>
      <c r="C259" s="6">
        <v>0.15</v>
      </c>
      <c r="D259" s="93">
        <f>(1-C259)*(V252+V253+U252+T251+T252)</f>
        <v>543.79304250081373</v>
      </c>
      <c r="E259" s="6">
        <f>D259/$D261</f>
        <v>0.18693790990849463</v>
      </c>
      <c r="F259" s="1">
        <v>14</v>
      </c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>
        <f>AF258*$D$245*$D$244</f>
        <v>378.95612573872</v>
      </c>
      <c r="AI259" s="9">
        <f>AG258*$D$245*$D$244</f>
        <v>1515.8245029548809</v>
      </c>
      <c r="AJ259" s="9">
        <f>AH258*$D$245*$D$244</f>
        <v>378.95612573872</v>
      </c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P259" s="91"/>
    </row>
    <row r="260" spans="1:68" x14ac:dyDescent="0.25">
      <c r="B260" s="2" t="s">
        <v>314</v>
      </c>
      <c r="C260" s="6">
        <v>0.4</v>
      </c>
      <c r="D260" s="93">
        <f>(1-C260)*(S251+R250+R251)</f>
        <v>221.25244140625</v>
      </c>
      <c r="E260" s="6">
        <f>D260/$D261</f>
        <v>7.6059209526525257E-2</v>
      </c>
      <c r="F260" s="1">
        <v>15</v>
      </c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>
        <f>AH259*$D$245*$D$244</f>
        <v>473.69515717339999</v>
      </c>
      <c r="AK260" s="9">
        <f>AI259*$D$245*$D$244</f>
        <v>1894.7806286936011</v>
      </c>
      <c r="AL260" s="9">
        <f>AJ259*$D$245*$D$244</f>
        <v>473.69515717339999</v>
      </c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P260" s="91"/>
    </row>
    <row r="261" spans="1:68" x14ac:dyDescent="0.25">
      <c r="B261" s="2" t="s">
        <v>315</v>
      </c>
      <c r="C261" s="2"/>
      <c r="D261" s="93">
        <f>SUM(D255:D260)</f>
        <v>2908.950050671896</v>
      </c>
      <c r="F261" s="1">
        <v>16</v>
      </c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>
        <f>AJ260*$D$245*$D$244</f>
        <v>592.11894646675</v>
      </c>
      <c r="AM261" s="9">
        <f>AK260*$D$245*$D$244</f>
        <v>2368.4757858670014</v>
      </c>
      <c r="AN261" s="9">
        <f>AL260*$D$245*$D$244</f>
        <v>592.11894646675</v>
      </c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P261" s="91"/>
    </row>
    <row r="262" spans="1:68" x14ac:dyDescent="0.25">
      <c r="B262" s="2"/>
      <c r="C262" s="2"/>
      <c r="D262" s="93"/>
      <c r="F262" s="1">
        <v>17</v>
      </c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>
        <f>AL261*$D$245*$D$244</f>
        <v>740.1486830834375</v>
      </c>
      <c r="AO262" s="9">
        <f>AM261*$D$245*$D$244</f>
        <v>2960.5947323337518</v>
      </c>
      <c r="AP262" s="9">
        <f>AN261*$D$245*$D$244</f>
        <v>740.1486830834375</v>
      </c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P262" s="91"/>
    </row>
    <row r="263" spans="1:68" x14ac:dyDescent="0.25">
      <c r="B263" s="2" t="s">
        <v>316</v>
      </c>
      <c r="C263" s="6">
        <v>-0.185</v>
      </c>
      <c r="D263" s="93">
        <f>(1-C263)*(BP276+BP275+BO275/2)</f>
        <v>67804.172525556409</v>
      </c>
      <c r="E263" s="6">
        <f>D263/$D269</f>
        <v>0.25858417303125603</v>
      </c>
      <c r="F263" s="1">
        <v>18</v>
      </c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>
        <f>AN262*$D$245*$D$244</f>
        <v>925.18585385429685</v>
      </c>
      <c r="AQ263" s="9">
        <f>AO262*$D$245*$D$244</f>
        <v>3700.7434154171897</v>
      </c>
      <c r="AR263" s="9">
        <f>AP262*$D$245*$D$244</f>
        <v>925.18585385429685</v>
      </c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P263" s="91"/>
    </row>
    <row r="264" spans="1:68" x14ac:dyDescent="0.25">
      <c r="B264" s="2" t="s">
        <v>317</v>
      </c>
      <c r="C264" s="6">
        <v>-0.04</v>
      </c>
      <c r="D264" s="93">
        <f>(1-C264)*(BO275/2)</f>
        <v>28003.510320805635</v>
      </c>
      <c r="E264" s="6">
        <f>D264/$D269</f>
        <v>0.10679673961876648</v>
      </c>
      <c r="F264" s="1">
        <v>19</v>
      </c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>
        <f>AP263*$D$245*$D$244</f>
        <v>1156.4823173178711</v>
      </c>
      <c r="AS264" s="9">
        <f>AQ263*$D$245*$D$244</f>
        <v>4625.9292692714871</v>
      </c>
      <c r="AT264" s="9">
        <f>AR263*$D$245*$D$244</f>
        <v>1156.4823173178711</v>
      </c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P264" s="91"/>
    </row>
    <row r="265" spans="1:68" x14ac:dyDescent="0.25">
      <c r="B265" s="2" t="s">
        <v>318</v>
      </c>
      <c r="C265" s="6">
        <v>0</v>
      </c>
      <c r="D265" s="93">
        <f>(1-C265)*(BN274+BN275+BM274/2)</f>
        <v>45774.968793624583</v>
      </c>
      <c r="E265" s="6">
        <f>D265/$D269</f>
        <v>0.174571593607599</v>
      </c>
      <c r="F265" s="1">
        <v>20</v>
      </c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>
        <f>AR264*$D$245*$D$244</f>
        <v>1445.6028966473389</v>
      </c>
      <c r="AU265" s="9">
        <f>AS264*$D$245*$D$244</f>
        <v>5782.4115865893591</v>
      </c>
      <c r="AV265" s="9">
        <f>AT264*$D$245*$D$244</f>
        <v>1445.6028966473389</v>
      </c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P265" s="91"/>
    </row>
    <row r="266" spans="1:68" x14ac:dyDescent="0.25">
      <c r="B266" s="2" t="s">
        <v>319</v>
      </c>
      <c r="C266" s="6">
        <v>0</v>
      </c>
      <c r="D266" s="93">
        <f>(1-C266)*(BL274+BL273+BM274/2)</f>
        <v>40928.207391946686</v>
      </c>
      <c r="E266" s="6">
        <f>D266/$D269</f>
        <v>0.15608754251973558</v>
      </c>
      <c r="F266" s="1">
        <v>21</v>
      </c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>
        <f>AT265*$D$245*$D$244</f>
        <v>1807.0036208091735</v>
      </c>
      <c r="AW266" s="9">
        <f>AU265*$D$245*$D$244</f>
        <v>7228.0144832366987</v>
      </c>
      <c r="AX266" s="9">
        <f>AV265*$D$245*$D$244</f>
        <v>1807.0036208091735</v>
      </c>
      <c r="AY266" s="9"/>
      <c r="AZ266" s="9"/>
      <c r="BA266" s="9"/>
      <c r="BB266" s="9"/>
      <c r="BC266" s="9"/>
      <c r="BD266" s="9"/>
      <c r="BE266" s="9"/>
      <c r="BF266" s="9"/>
      <c r="BG266" s="9"/>
      <c r="BP266" s="91"/>
    </row>
    <row r="267" spans="1:68" x14ac:dyDescent="0.25">
      <c r="B267" s="2" t="s">
        <v>320</v>
      </c>
      <c r="C267" s="6">
        <v>0.15</v>
      </c>
      <c r="D267" s="93">
        <f>(1-C267)*(BK273+BJ273+BJ272)</f>
        <v>42479.171040483612</v>
      </c>
      <c r="E267" s="6">
        <f>D267/$D269</f>
        <v>0.16200243886785187</v>
      </c>
      <c r="F267" s="1">
        <v>22</v>
      </c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>
        <f>AV266*$D$245*$D$244</f>
        <v>2258.7545260114671</v>
      </c>
      <c r="AY267" s="9">
        <f>AW266*$D$245*$D$244</f>
        <v>9035.0181040458738</v>
      </c>
      <c r="AZ267" s="9">
        <f>AX266*$D$245*$D$244</f>
        <v>2258.7545260114671</v>
      </c>
      <c r="BA267" s="9"/>
      <c r="BB267" s="9"/>
      <c r="BC267" s="9"/>
      <c r="BD267" s="9"/>
      <c r="BE267" s="9"/>
      <c r="BF267" s="9"/>
      <c r="BG267" s="9"/>
      <c r="BP267" s="91"/>
    </row>
    <row r="268" spans="1:68" x14ac:dyDescent="0.25">
      <c r="B268" s="2" t="s">
        <v>321</v>
      </c>
      <c r="C268" s="6">
        <v>0.4</v>
      </c>
      <c r="D268" s="93">
        <f>(1-C268)*(BI272+BH271+BH272+BG271)</f>
        <v>37223.12756488625</v>
      </c>
      <c r="E268" s="6">
        <f>D268/$D269</f>
        <v>0.14195751235479109</v>
      </c>
      <c r="F268" s="1">
        <v>23</v>
      </c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>
        <f>AX267*$D$245*$D$244</f>
        <v>2823.443157514334</v>
      </c>
      <c r="BA268" s="9">
        <f>AY267*$D$245*$D$244</f>
        <v>11293.772630057341</v>
      </c>
      <c r="BB268" s="9">
        <f>AZ267*$D$245*$D$244</f>
        <v>2823.443157514334</v>
      </c>
      <c r="BC268" s="9"/>
      <c r="BD268" s="9"/>
      <c r="BE268" s="9"/>
      <c r="BF268" s="9"/>
      <c r="BG268" s="9"/>
      <c r="BP268" s="91"/>
    </row>
    <row r="269" spans="1:68" x14ac:dyDescent="0.25">
      <c r="B269" s="2" t="s">
        <v>322</v>
      </c>
      <c r="C269" s="2"/>
      <c r="D269" s="93">
        <f>SUM(D263:D268)</f>
        <v>262213.15763730317</v>
      </c>
      <c r="F269" s="1">
        <v>24</v>
      </c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>
        <f>AZ268*$D$245*$D$244</f>
        <v>3529.3039468929173</v>
      </c>
      <c r="BC269" s="9">
        <f>BA268*$D$245*$D$244</f>
        <v>14117.215787571677</v>
      </c>
      <c r="BD269" s="9">
        <f>BB268*$D$245*$D$244</f>
        <v>3529.3039468929173</v>
      </c>
      <c r="BE269" s="9"/>
      <c r="BF269" s="9"/>
      <c r="BG269" s="9"/>
      <c r="BP269" s="91"/>
    </row>
    <row r="270" spans="1:68" x14ac:dyDescent="0.25">
      <c r="B270" s="2"/>
      <c r="C270" s="2"/>
      <c r="D270" s="77"/>
      <c r="F270" s="1">
        <v>25</v>
      </c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>
        <f>BB269*$D$245*$D$244</f>
        <v>4411.6299336161464</v>
      </c>
      <c r="BE270" s="9">
        <f>BC269*$D$245*$D$244</f>
        <v>17646.519734464597</v>
      </c>
      <c r="BF270" s="9">
        <f>BD269*$D$245*$D$244</f>
        <v>4411.6299336161464</v>
      </c>
      <c r="BG270" s="9"/>
      <c r="BP270" s="91"/>
    </row>
    <row r="271" spans="1:68" x14ac:dyDescent="0.25">
      <c r="B271" s="2" t="s">
        <v>350</v>
      </c>
      <c r="C271" s="2" t="s">
        <v>349</v>
      </c>
      <c r="D271" s="93" t="s">
        <v>8</v>
      </c>
      <c r="F271" s="1">
        <v>26</v>
      </c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>
        <f>BD270*$D$245*$D$244</f>
        <v>5514.5374170201831</v>
      </c>
      <c r="BG271" s="9">
        <f>BE270*$D$245*$D$244</f>
        <v>22058.149668080747</v>
      </c>
      <c r="BH271" s="9">
        <f>BF270*$D$245*$D$244</f>
        <v>5514.5374170201831</v>
      </c>
      <c r="BP271" s="91"/>
    </row>
    <row r="272" spans="1:68" x14ac:dyDescent="0.25">
      <c r="B272" s="2">
        <v>200</v>
      </c>
      <c r="C272" s="88" t="str">
        <f>ROUND((B272-$M$11)/$N$11+0.5,1) &amp;" to "&amp; ROUND(B272/$N$11-0.5,1)</f>
        <v>0.5 to 4.6</v>
      </c>
      <c r="D272" s="93">
        <f>SUMPRODUCT($G$245*($D$244*$D$245)^({0.5,1.5,2.5,3.5,4.6}))</f>
        <v>923.73332462159851</v>
      </c>
      <c r="F272" s="1">
        <v>27</v>
      </c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>
        <f>BF271*$D$245*$D$244</f>
        <v>6893.1717712752288</v>
      </c>
      <c r="BI272" s="9">
        <f>BG271*$D$245*$D$244</f>
        <v>27572.687085100933</v>
      </c>
      <c r="BJ272" s="9">
        <f>BH271*$D$245*$D$244</f>
        <v>6893.1717712752288</v>
      </c>
      <c r="BP272" s="91"/>
    </row>
    <row r="273" spans="1:72" x14ac:dyDescent="0.25">
      <c r="B273" s="2">
        <v>400</v>
      </c>
      <c r="C273" s="88" t="str">
        <f>ROUND((B273-$M$11)/$N$11+0.5,1) &amp;" to "&amp; ROUND(B273/$N$11-0.5,1)</f>
        <v>5.7 to 9.8</v>
      </c>
      <c r="D273" s="93">
        <f>SUMPRODUCT($G$245*($D$244*$D$245)^({5.7,6.7,7.7,8.7,9.8}))</f>
        <v>2947.6687630339893</v>
      </c>
      <c r="F273" s="1">
        <v>28</v>
      </c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J273" s="9">
        <f>BH272*$D$245*$D$244</f>
        <v>8616.464714094036</v>
      </c>
      <c r="BK273" s="9">
        <f>BI272*$D$245*$D$244</f>
        <v>34465.858856376166</v>
      </c>
      <c r="BL273" s="9">
        <f>BJ272*$D$245*$D$244</f>
        <v>8616.464714094036</v>
      </c>
      <c r="BP273" s="91"/>
    </row>
    <row r="274" spans="1:72" x14ac:dyDescent="0.25">
      <c r="B274" s="2">
        <v>1200</v>
      </c>
      <c r="C274" s="88" t="str">
        <f>ROUND((B274-$M$11)/$N$11+0.5,1) &amp;" to "&amp; ROUND(B274/$N$11-0.5,1)</f>
        <v>26.2 to 30.3</v>
      </c>
      <c r="D274" s="93">
        <f>SUMPRODUCT($G$245*($D$244*$D$245)^({26.2,27.2,28.2,29.2,30.3}))</f>
        <v>285847.20221453218</v>
      </c>
      <c r="F274" s="1">
        <v>29</v>
      </c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L274" s="9">
        <f>BJ273*$D$245*$D$244</f>
        <v>10770.580892617545</v>
      </c>
      <c r="BM274" s="9">
        <f>BK273*$D$245*$D$244</f>
        <v>43082.323570470209</v>
      </c>
      <c r="BN274" s="9">
        <f>BL273*$D$245*$D$244</f>
        <v>10770.580892617545</v>
      </c>
      <c r="BP274" s="91"/>
    </row>
    <row r="275" spans="1:72" x14ac:dyDescent="0.25">
      <c r="B275" s="2">
        <v>3800</v>
      </c>
      <c r="C275" s="88" t="str">
        <f>ROUND((B275-$M$11)/$N$11+0.5,1) &amp;" to "&amp; ROUND(B275/$N$11-0.5,1)</f>
        <v>92.8 to 96.9</v>
      </c>
      <c r="D275" s="93">
        <f>SUMPRODUCT($G$245*($D$244*$D$245)^({92.8,93.8,94.8,95.8,96.9}))</f>
        <v>813468634456.75916</v>
      </c>
      <c r="F275" s="1">
        <v>30</v>
      </c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N275" s="9">
        <f>BL274*$D$245*$D$244</f>
        <v>13463.226115771931</v>
      </c>
      <c r="BO275" s="9">
        <f>BM274*$D$245*$D$244</f>
        <v>53852.904463087762</v>
      </c>
      <c r="BP275" s="92">
        <f>BN274*$D$245*$D$244</f>
        <v>13463.226115771931</v>
      </c>
    </row>
    <row r="276" spans="1:72" x14ac:dyDescent="0.25">
      <c r="B276" s="2"/>
      <c r="C276" s="2"/>
      <c r="D276" s="77"/>
      <c r="F276" s="92">
        <v>31</v>
      </c>
      <c r="G276" s="92"/>
      <c r="H276" s="92"/>
      <c r="I276" s="92"/>
      <c r="J276" s="92"/>
      <c r="K276" s="92"/>
      <c r="L276" s="92"/>
      <c r="M276" s="92"/>
      <c r="N276" s="92"/>
      <c r="O276" s="92"/>
      <c r="P276" s="92"/>
      <c r="Q276" s="92"/>
      <c r="R276" s="92"/>
      <c r="S276" s="92"/>
      <c r="T276" s="92"/>
      <c r="U276" s="92"/>
      <c r="V276" s="92"/>
      <c r="W276" s="92"/>
      <c r="X276" s="92"/>
      <c r="Y276" s="92"/>
      <c r="Z276" s="92"/>
      <c r="AA276" s="92"/>
      <c r="AB276" s="92"/>
      <c r="AC276" s="92"/>
      <c r="AD276" s="92"/>
      <c r="AE276" s="92"/>
      <c r="AF276" s="92"/>
      <c r="AG276" s="92"/>
      <c r="AH276" s="92"/>
      <c r="AI276" s="92"/>
      <c r="AJ276" s="92"/>
      <c r="AK276" s="92"/>
      <c r="AL276" s="92"/>
      <c r="AM276" s="92"/>
      <c r="AN276" s="92"/>
      <c r="AO276" s="92"/>
      <c r="AP276" s="92"/>
      <c r="AQ276" s="92"/>
      <c r="AR276" s="92"/>
      <c r="AS276" s="92"/>
      <c r="AT276" s="92"/>
      <c r="AU276" s="92"/>
      <c r="AV276" s="92"/>
      <c r="AW276" s="92"/>
      <c r="AX276" s="92"/>
      <c r="AY276" s="92"/>
      <c r="AZ276" s="92"/>
      <c r="BA276" s="92"/>
      <c r="BB276" s="92"/>
      <c r="BC276" s="92"/>
      <c r="BD276" s="92"/>
      <c r="BE276" s="92"/>
      <c r="BF276" s="92"/>
      <c r="BG276" s="92"/>
      <c r="BH276" s="92"/>
      <c r="BI276" s="92"/>
      <c r="BJ276" s="92"/>
      <c r="BK276" s="92"/>
      <c r="BL276" s="92"/>
      <c r="BM276" s="92"/>
      <c r="BN276" s="92"/>
      <c r="BO276" s="92"/>
      <c r="BP276" s="92">
        <f>BN275*$D$245*$D$244</f>
        <v>16829.032644714913</v>
      </c>
      <c r="BQ276" s="9">
        <f>BO275*$D$245*$D$244</f>
        <v>67316.130578859709</v>
      </c>
      <c r="BR276" s="9">
        <f>BP275*$D$245*$D$244</f>
        <v>16829.032644714913</v>
      </c>
    </row>
    <row r="277" spans="1:72" x14ac:dyDescent="0.25">
      <c r="C277" s="9">
        <f>100*D243</f>
        <v>320</v>
      </c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R277" s="9"/>
      <c r="BS277" s="9"/>
      <c r="BT277" s="9"/>
    </row>
    <row r="278" spans="1:72" x14ac:dyDescent="0.25">
      <c r="B278" s="2" t="s">
        <v>278</v>
      </c>
      <c r="C278" s="9">
        <f>C277*(1+C247)</f>
        <v>260.79999999999995</v>
      </c>
      <c r="D278" s="2" t="str">
        <f>ROUND((1-C247)*C277-C277,0)&amp;" die as children"</f>
        <v>59 die as children</v>
      </c>
      <c r="E278" s="6">
        <f>(C277-C278)/C277</f>
        <v>0.18500000000000014</v>
      </c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72" x14ac:dyDescent="0.25">
      <c r="B279" s="2" t="s">
        <v>383</v>
      </c>
      <c r="C279" s="9">
        <f>C278*(1+C248)</f>
        <v>250.36799999999994</v>
      </c>
      <c r="D279" s="2" t="str">
        <f>ROUND((1-C248)*C278-C278,0)&amp;" die before being able to procreate"</f>
        <v>10 die before being able to procreate</v>
      </c>
      <c r="E279" s="6">
        <f>(C278-C279)/C277</f>
        <v>3.2600000000000053E-2</v>
      </c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72" x14ac:dyDescent="0.25">
      <c r="B280" s="2" t="s">
        <v>384</v>
      </c>
      <c r="C280" s="9">
        <f>C279</f>
        <v>250.36799999999994</v>
      </c>
      <c r="D280" s="2" t="str">
        <f>ROUND(C280-(1-C249)*C280,0)&amp;" die before being mature"</f>
        <v>0 die before being mature</v>
      </c>
      <c r="E280" s="6">
        <f>(C279-C280)/C277</f>
        <v>0</v>
      </c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72" x14ac:dyDescent="0.25">
      <c r="B281" s="2" t="s">
        <v>280</v>
      </c>
      <c r="C281" s="9">
        <f>C280*(1-C249)</f>
        <v>250.36799999999994</v>
      </c>
      <c r="D281" s="2" t="str">
        <f>ROUND(C281-(1-C250)*C281,0)&amp;" die before being middle-age"</f>
        <v>0 die before being middle-age</v>
      </c>
      <c r="E281" s="6">
        <f>(C281-C282)/C277</f>
        <v>0</v>
      </c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72" x14ac:dyDescent="0.25">
      <c r="B282" s="2" t="s">
        <v>281</v>
      </c>
      <c r="C282" s="9">
        <f t="shared" ref="C282:C284" si="89">C281*(1-C250)</f>
        <v>250.36799999999994</v>
      </c>
      <c r="D282" s="2" t="str">
        <f>ROUND(C282-(1-C251)*C282,0)&amp;" die before being old"</f>
        <v>38 die before being old</v>
      </c>
      <c r="E282" s="6">
        <f>(C282-C283)/C277</f>
        <v>0.11735999999999995</v>
      </c>
    </row>
    <row r="283" spans="1:72" x14ac:dyDescent="0.25">
      <c r="B283" s="2" t="s">
        <v>375</v>
      </c>
      <c r="C283" s="9">
        <f t="shared" si="89"/>
        <v>212.81279999999995</v>
      </c>
      <c r="D283" s="2" t="str">
        <f>ROUND(C283-(1-C252)*C283,0)&amp;" die before being venerable"</f>
        <v>85 die before being venerable</v>
      </c>
      <c r="E283" s="6">
        <f>(C283-C284)/C277</f>
        <v>0.26601599999999992</v>
      </c>
    </row>
    <row r="284" spans="1:72" x14ac:dyDescent="0.25">
      <c r="B284" s="2" t="s">
        <v>283</v>
      </c>
      <c r="C284" s="9">
        <f t="shared" si="89"/>
        <v>127.68767999999997</v>
      </c>
      <c r="E284" s="6">
        <f>C284/C277</f>
        <v>0.39902399999999993</v>
      </c>
    </row>
    <row r="285" spans="1:72" x14ac:dyDescent="0.25">
      <c r="B285" s="2"/>
      <c r="C285" s="9"/>
    </row>
    <row r="286" spans="1:72" x14ac:dyDescent="0.25">
      <c r="B286" s="2"/>
      <c r="C286" s="9"/>
    </row>
    <row r="287" spans="1:72" ht="15.5" x14ac:dyDescent="0.35">
      <c r="A287" s="11" t="s">
        <v>116</v>
      </c>
      <c r="B287" s="1" t="s">
        <v>329</v>
      </c>
      <c r="D287" s="1">
        <v>8.5</v>
      </c>
      <c r="E287" s="84"/>
      <c r="G287" s="76" t="s">
        <v>331</v>
      </c>
      <c r="AY287" s="9"/>
      <c r="AZ287" s="9"/>
      <c r="BA287" s="9"/>
      <c r="BB287" s="9"/>
      <c r="BC287" s="9"/>
    </row>
    <row r="288" spans="1:72" ht="15.5" x14ac:dyDescent="0.35">
      <c r="B288" s="1" t="s">
        <v>330</v>
      </c>
      <c r="D288" s="1">
        <v>3.5</v>
      </c>
      <c r="E288" s="6">
        <f>D288/D287</f>
        <v>0.41176470588235292</v>
      </c>
      <c r="F288" s="76" t="s">
        <v>301</v>
      </c>
      <c r="G288" s="85">
        <v>0</v>
      </c>
      <c r="H288" s="86">
        <f>G288+$N$15</f>
        <v>12</v>
      </c>
      <c r="I288" s="86">
        <f t="shared" ref="I288:BE288" si="90">H288+$N$15</f>
        <v>24</v>
      </c>
      <c r="J288" s="86">
        <f t="shared" si="90"/>
        <v>36</v>
      </c>
      <c r="K288" s="86">
        <f t="shared" si="90"/>
        <v>48</v>
      </c>
      <c r="L288" s="86">
        <f t="shared" si="90"/>
        <v>60</v>
      </c>
      <c r="M288" s="86">
        <f t="shared" si="90"/>
        <v>72</v>
      </c>
      <c r="N288" s="86">
        <f t="shared" si="90"/>
        <v>84</v>
      </c>
      <c r="O288" s="86">
        <f t="shared" si="90"/>
        <v>96</v>
      </c>
      <c r="P288" s="86">
        <f t="shared" si="90"/>
        <v>108</v>
      </c>
      <c r="Q288" s="86">
        <f t="shared" si="90"/>
        <v>120</v>
      </c>
      <c r="R288" s="86">
        <f t="shared" si="90"/>
        <v>132</v>
      </c>
      <c r="S288" s="86">
        <f t="shared" si="90"/>
        <v>144</v>
      </c>
      <c r="T288" s="86">
        <f t="shared" si="90"/>
        <v>156</v>
      </c>
      <c r="U288" s="86">
        <f t="shared" si="90"/>
        <v>168</v>
      </c>
      <c r="V288" s="86">
        <f t="shared" si="90"/>
        <v>180</v>
      </c>
      <c r="W288" s="86">
        <f t="shared" si="90"/>
        <v>192</v>
      </c>
      <c r="X288" s="86">
        <f t="shared" si="90"/>
        <v>204</v>
      </c>
      <c r="Y288" s="86">
        <f t="shared" si="90"/>
        <v>216</v>
      </c>
      <c r="Z288" s="86">
        <f t="shared" si="90"/>
        <v>228</v>
      </c>
      <c r="AA288" s="86">
        <f t="shared" si="90"/>
        <v>240</v>
      </c>
      <c r="AB288" s="86">
        <f t="shared" si="90"/>
        <v>252</v>
      </c>
      <c r="AC288" s="86">
        <f t="shared" si="90"/>
        <v>264</v>
      </c>
      <c r="AD288" s="86">
        <f t="shared" si="90"/>
        <v>276</v>
      </c>
      <c r="AE288" s="86">
        <f t="shared" si="90"/>
        <v>288</v>
      </c>
      <c r="AF288" s="86">
        <f t="shared" si="90"/>
        <v>300</v>
      </c>
      <c r="AG288" s="86">
        <f t="shared" si="90"/>
        <v>312</v>
      </c>
      <c r="AH288" s="86">
        <f t="shared" si="90"/>
        <v>324</v>
      </c>
      <c r="AI288" s="86">
        <f t="shared" si="90"/>
        <v>336</v>
      </c>
      <c r="AJ288" s="86">
        <f t="shared" si="90"/>
        <v>348</v>
      </c>
      <c r="AK288" s="86">
        <f t="shared" si="90"/>
        <v>360</v>
      </c>
      <c r="AL288" s="86">
        <f t="shared" si="90"/>
        <v>372</v>
      </c>
      <c r="AM288" s="86">
        <f t="shared" si="90"/>
        <v>384</v>
      </c>
      <c r="AN288" s="86">
        <f t="shared" si="90"/>
        <v>396</v>
      </c>
      <c r="AO288" s="86">
        <f t="shared" si="90"/>
        <v>408</v>
      </c>
      <c r="AP288" s="86">
        <f t="shared" si="90"/>
        <v>420</v>
      </c>
      <c r="AQ288" s="86">
        <f t="shared" si="90"/>
        <v>432</v>
      </c>
      <c r="AR288" s="86">
        <f t="shared" si="90"/>
        <v>444</v>
      </c>
      <c r="AS288" s="86">
        <f t="shared" si="90"/>
        <v>456</v>
      </c>
      <c r="AT288" s="86">
        <f t="shared" si="90"/>
        <v>468</v>
      </c>
      <c r="AU288" s="86">
        <f t="shared" si="90"/>
        <v>480</v>
      </c>
      <c r="AV288" s="86">
        <f t="shared" si="90"/>
        <v>492</v>
      </c>
      <c r="AW288" s="86">
        <f t="shared" si="90"/>
        <v>504</v>
      </c>
      <c r="AX288" s="86">
        <f t="shared" si="90"/>
        <v>516</v>
      </c>
      <c r="AY288" s="86">
        <f t="shared" si="90"/>
        <v>528</v>
      </c>
      <c r="AZ288" s="86">
        <f t="shared" si="90"/>
        <v>540</v>
      </c>
      <c r="BA288" s="86">
        <f t="shared" si="90"/>
        <v>552</v>
      </c>
      <c r="BB288" s="86">
        <f t="shared" si="90"/>
        <v>564</v>
      </c>
      <c r="BC288" s="86">
        <f t="shared" si="90"/>
        <v>576</v>
      </c>
      <c r="BD288" s="86">
        <f t="shared" si="90"/>
        <v>588</v>
      </c>
      <c r="BE288" s="86">
        <f t="shared" si="90"/>
        <v>600</v>
      </c>
      <c r="BF288" s="88"/>
      <c r="BG288" s="88"/>
      <c r="BH288" s="88"/>
      <c r="BI288" s="88"/>
      <c r="BJ288" s="88"/>
      <c r="BK288" s="88"/>
      <c r="BL288" s="88"/>
      <c r="BM288" s="88"/>
      <c r="BN288" s="88"/>
      <c r="BO288" s="88"/>
      <c r="BP288" s="88"/>
      <c r="BQ288" s="88"/>
      <c r="BR288" s="88"/>
      <c r="BS288" s="88"/>
      <c r="BT288" s="88"/>
    </row>
    <row r="289" spans="2:57" x14ac:dyDescent="0.25">
      <c r="B289" s="2" t="s">
        <v>390</v>
      </c>
      <c r="D289" s="1">
        <f>1/3</f>
        <v>0.33333333333333331</v>
      </c>
      <c r="F289" s="1">
        <v>0</v>
      </c>
      <c r="G289" s="9">
        <f>50/D289</f>
        <v>150</v>
      </c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82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5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E289" s="97"/>
    </row>
    <row r="290" spans="2:57" x14ac:dyDescent="0.25">
      <c r="C290" s="2" t="s">
        <v>335</v>
      </c>
      <c r="F290" s="1">
        <v>1</v>
      </c>
      <c r="G290" s="9"/>
      <c r="H290" s="9">
        <f>G289*$D$289*$D$288</f>
        <v>175</v>
      </c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82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5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E290" s="97"/>
    </row>
    <row r="291" spans="2:57" x14ac:dyDescent="0.25">
      <c r="B291" s="2" t="s">
        <v>302</v>
      </c>
      <c r="C291" s="6">
        <v>-0.5</v>
      </c>
      <c r="D291" s="93">
        <f>(1-C291)*(X306)</f>
        <v>3092.273807363641</v>
      </c>
      <c r="E291" s="6">
        <f>D291/$D297</f>
        <v>0.35255859747503682</v>
      </c>
      <c r="F291" s="1">
        <v>2</v>
      </c>
      <c r="G291" s="9"/>
      <c r="H291" s="9"/>
      <c r="I291" s="9">
        <f>H290*$D$289*$D$288</f>
        <v>204.16666666666666</v>
      </c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82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5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E291" s="97"/>
    </row>
    <row r="292" spans="2:57" x14ac:dyDescent="0.25">
      <c r="B292" s="2" t="s">
        <v>303</v>
      </c>
      <c r="C292" s="6">
        <v>-0.17699999999999999</v>
      </c>
      <c r="D292" s="93">
        <f>(1-C292)*(W305)</f>
        <v>2079.7750121525746</v>
      </c>
      <c r="E292" s="6">
        <f>D292/D297</f>
        <v>0.23712083955892474</v>
      </c>
      <c r="F292" s="1">
        <v>3</v>
      </c>
      <c r="G292" s="9"/>
      <c r="H292" s="9"/>
      <c r="I292" s="9"/>
      <c r="J292" s="9">
        <f>I291*$D$289*$D$288</f>
        <v>238.1944444444444</v>
      </c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82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5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E292" s="97"/>
    </row>
    <row r="293" spans="2:57" x14ac:dyDescent="0.25">
      <c r="B293" s="2" t="s">
        <v>304</v>
      </c>
      <c r="C293" s="6">
        <v>0</v>
      </c>
      <c r="D293" s="93">
        <f>(1-C293)*(V304/2)</f>
        <v>757.29154466048362</v>
      </c>
      <c r="E293" s="6">
        <f>D293/D297</f>
        <v>8.634088101429474E-2</v>
      </c>
      <c r="F293" s="1">
        <v>4</v>
      </c>
      <c r="G293" s="9"/>
      <c r="H293" s="9"/>
      <c r="I293" s="9"/>
      <c r="J293" s="9"/>
      <c r="K293" s="9">
        <f>J292*$D$289*$D$288</f>
        <v>277.89351851851842</v>
      </c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82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5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E293" s="97"/>
    </row>
    <row r="294" spans="2:57" x14ac:dyDescent="0.25">
      <c r="B294" s="2" t="s">
        <v>305</v>
      </c>
      <c r="C294" s="6">
        <v>0.05</v>
      </c>
      <c r="D294" s="93">
        <f>(1-C294)*(V304/2)</f>
        <v>719.42696742745943</v>
      </c>
      <c r="E294" s="6">
        <f>D294/D297</f>
        <v>8.2023836963579996E-2</v>
      </c>
      <c r="F294" s="1">
        <v>5</v>
      </c>
      <c r="G294" s="9"/>
      <c r="H294" s="9"/>
      <c r="I294" s="9"/>
      <c r="J294" s="9"/>
      <c r="K294" s="9"/>
      <c r="L294" s="9">
        <f>K293*$D$289*$D$288</f>
        <v>324.20910493827148</v>
      </c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82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5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E294" s="97"/>
    </row>
    <row r="295" spans="2:57" x14ac:dyDescent="0.25">
      <c r="B295" s="2" t="s">
        <v>306</v>
      </c>
      <c r="C295" s="6">
        <v>0.1</v>
      </c>
      <c r="D295" s="93">
        <f>(1-C295)*(U303)</f>
        <v>1168.3926689047462</v>
      </c>
      <c r="E295" s="6">
        <f>D295/D297</f>
        <v>0.13321164499348331</v>
      </c>
      <c r="F295" s="1">
        <v>6</v>
      </c>
      <c r="G295" s="9"/>
      <c r="H295" s="9"/>
      <c r="I295" s="9"/>
      <c r="J295" s="9"/>
      <c r="K295" s="9"/>
      <c r="L295" s="9"/>
      <c r="M295" s="9">
        <f>L294*$D$289*$D$288</f>
        <v>378.24395576131673</v>
      </c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82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5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E295" s="97"/>
    </row>
    <row r="296" spans="2:57" x14ac:dyDescent="0.25">
      <c r="B296" s="2" t="s">
        <v>307</v>
      </c>
      <c r="C296" s="6">
        <v>0.4</v>
      </c>
      <c r="D296" s="93">
        <f>(1-C296)*(T302+S301/2)</f>
        <v>953.78993379979272</v>
      </c>
      <c r="E296" s="6">
        <f>D296/D297</f>
        <v>0.10874419999468024</v>
      </c>
      <c r="F296" s="1">
        <v>7</v>
      </c>
      <c r="G296" s="9"/>
      <c r="H296" s="9"/>
      <c r="I296" s="9"/>
      <c r="J296" s="9"/>
      <c r="K296" s="9"/>
      <c r="L296" s="9"/>
      <c r="M296" s="9"/>
      <c r="N296" s="9">
        <f>M295*$D$289*$D$288</f>
        <v>441.28461505486951</v>
      </c>
      <c r="O296" s="9"/>
      <c r="P296" s="9"/>
      <c r="Q296" s="9"/>
      <c r="R296" s="9"/>
      <c r="S296" s="9"/>
      <c r="T296" s="9"/>
      <c r="U296" s="9"/>
      <c r="V296" s="9"/>
      <c r="W296" s="9"/>
      <c r="X296" s="82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5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E296" s="97"/>
    </row>
    <row r="297" spans="2:57" x14ac:dyDescent="0.25">
      <c r="B297" s="2" t="s">
        <v>308</v>
      </c>
      <c r="C297" s="2"/>
      <c r="D297" s="93">
        <f>SUM(D291:D296)</f>
        <v>8770.9499343086991</v>
      </c>
      <c r="F297" s="1">
        <v>8</v>
      </c>
      <c r="G297" s="9"/>
      <c r="H297" s="9"/>
      <c r="I297" s="9"/>
      <c r="J297" s="9"/>
      <c r="K297" s="9"/>
      <c r="L297" s="9"/>
      <c r="M297" s="9"/>
      <c r="N297" s="9"/>
      <c r="O297" s="9">
        <f>N296*$D$289*$D$288</f>
        <v>514.8320508973477</v>
      </c>
      <c r="P297" s="9"/>
      <c r="Q297" s="9"/>
      <c r="R297" s="9"/>
      <c r="S297" s="9"/>
      <c r="T297" s="9"/>
      <c r="U297" s="9"/>
      <c r="V297" s="9"/>
      <c r="W297" s="9"/>
      <c r="X297" s="82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5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E297" s="97"/>
    </row>
    <row r="298" spans="2:57" x14ac:dyDescent="0.25">
      <c r="D298" s="93"/>
      <c r="F298" s="1">
        <v>9</v>
      </c>
      <c r="G298" s="9"/>
      <c r="H298" s="9"/>
      <c r="I298" s="9"/>
      <c r="J298" s="9"/>
      <c r="K298" s="9"/>
      <c r="L298" s="9"/>
      <c r="M298" s="9"/>
      <c r="N298" s="9"/>
      <c r="O298" s="9"/>
      <c r="P298" s="9">
        <f>O297*$D$289*$D$288</f>
        <v>600.63739271357224</v>
      </c>
      <c r="Q298" s="9"/>
      <c r="R298" s="9"/>
      <c r="S298" s="9"/>
      <c r="T298" s="9"/>
      <c r="U298" s="9"/>
      <c r="V298" s="9"/>
      <c r="W298" s="9"/>
      <c r="X298" s="82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5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E298" s="97"/>
    </row>
    <row r="299" spans="2:57" x14ac:dyDescent="0.25">
      <c r="B299" s="2" t="s">
        <v>309</v>
      </c>
      <c r="C299" s="6">
        <v>-0.5</v>
      </c>
      <c r="D299" s="93">
        <f>(1-C299)*(AN322)</f>
        <v>36427.265903646585</v>
      </c>
      <c r="E299" s="6">
        <f>D299/$D305</f>
        <v>0.38315325715376336</v>
      </c>
      <c r="F299" s="1">
        <v>10</v>
      </c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>
        <f>P298*$D$289*$D$288</f>
        <v>700.74362483250093</v>
      </c>
      <c r="R299" s="9"/>
      <c r="S299" s="9"/>
      <c r="T299" s="9"/>
      <c r="U299" s="9"/>
      <c r="V299" s="9"/>
      <c r="W299" s="9"/>
      <c r="X299" s="82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5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E299" s="97"/>
    </row>
    <row r="300" spans="2:57" x14ac:dyDescent="0.25">
      <c r="B300" s="2" t="s">
        <v>310</v>
      </c>
      <c r="C300" s="6">
        <v>-0.17699999999999999</v>
      </c>
      <c r="D300" s="93">
        <f>(1-C300)*(AM321/2)</f>
        <v>12249.969133883438</v>
      </c>
      <c r="E300" s="6">
        <f>D300/$D305</f>
        <v>0.12884896676285129</v>
      </c>
      <c r="F300" s="1">
        <v>11</v>
      </c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>
        <f>Q299*$D$289*$D$288</f>
        <v>817.53422897125108</v>
      </c>
      <c r="S300" s="9"/>
      <c r="T300" s="9"/>
      <c r="U300" s="9"/>
      <c r="V300" s="9"/>
      <c r="W300" s="9"/>
      <c r="X300" s="82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5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E300" s="97"/>
    </row>
    <row r="301" spans="2:57" x14ac:dyDescent="0.25">
      <c r="B301" s="2" t="s">
        <v>311</v>
      </c>
      <c r="C301" s="6">
        <v>0</v>
      </c>
      <c r="D301" s="93">
        <f>(1-C301)*(AM321/2)</f>
        <v>10407.790258184739</v>
      </c>
      <c r="E301" s="6">
        <f>D301/$D305</f>
        <v>0.10947235918678953</v>
      </c>
      <c r="F301" s="1">
        <v>12</v>
      </c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>
        <f>R300*$D$289*$D$288</f>
        <v>953.78993379979283</v>
      </c>
      <c r="T301" s="9"/>
      <c r="U301" s="9"/>
      <c r="V301" s="9"/>
      <c r="W301" s="9"/>
      <c r="X301" s="82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5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E301" s="97"/>
    </row>
    <row r="302" spans="2:57" x14ac:dyDescent="0.25">
      <c r="B302" s="2" t="s">
        <v>312</v>
      </c>
      <c r="C302" s="6">
        <v>0.05</v>
      </c>
      <c r="D302" s="93">
        <f>(1-C302)*(AL320*2/3)</f>
        <v>11299.886566029145</v>
      </c>
      <c r="E302" s="6">
        <f>D302/$D305</f>
        <v>0.11885570425994292</v>
      </c>
      <c r="F302" s="1">
        <v>13</v>
      </c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>
        <f>S301*$D$289*$D$288</f>
        <v>1112.7549227664249</v>
      </c>
      <c r="U302" s="9"/>
      <c r="V302" s="9"/>
      <c r="W302" s="9"/>
      <c r="X302" s="82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5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E302" s="97"/>
    </row>
    <row r="303" spans="2:57" x14ac:dyDescent="0.25">
      <c r="B303" s="2" t="s">
        <v>313</v>
      </c>
      <c r="C303" s="6">
        <v>0.1</v>
      </c>
      <c r="D303" s="93">
        <f>(1-C303)*(AK319/2+AL320/3)</f>
        <v>12234.463650437572</v>
      </c>
      <c r="E303" s="6">
        <f>D303/$D305</f>
        <v>0.12868587528896078</v>
      </c>
      <c r="F303" s="1">
        <v>14</v>
      </c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>
        <f>T302*$D$289*$D$288</f>
        <v>1298.214076560829</v>
      </c>
      <c r="V303" s="9"/>
      <c r="W303" s="9"/>
      <c r="X303" s="82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5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E303" s="97"/>
    </row>
    <row r="304" spans="2:57" x14ac:dyDescent="0.25">
      <c r="B304" s="2" t="s">
        <v>314</v>
      </c>
      <c r="C304" s="6">
        <v>0.4</v>
      </c>
      <c r="D304" s="93">
        <f>(1-C304)*(AK319/2+AJ318)</f>
        <v>12452.936215623957</v>
      </c>
      <c r="E304" s="6">
        <f>D304/$D305</f>
        <v>0.1309838373476922</v>
      </c>
      <c r="F304" s="1">
        <v>15</v>
      </c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>
        <f>U303*$D$289*$D$288</f>
        <v>1514.5830893209672</v>
      </c>
      <c r="W304" s="9"/>
      <c r="X304" s="82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5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E304" s="97"/>
    </row>
    <row r="305" spans="2:57" x14ac:dyDescent="0.25">
      <c r="B305" s="2" t="s">
        <v>315</v>
      </c>
      <c r="C305" s="2"/>
      <c r="D305" s="93">
        <f>SUM(D299:D304)</f>
        <v>95072.311727805427</v>
      </c>
      <c r="F305" s="1">
        <v>16</v>
      </c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>
        <f>V304*$D$289*$D$288</f>
        <v>1767.013604207795</v>
      </c>
      <c r="X305" s="82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5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E305" s="97"/>
    </row>
    <row r="306" spans="2:57" ht="14.5" x14ac:dyDescent="0.35">
      <c r="B306" s="80"/>
      <c r="C306" s="80"/>
      <c r="D306" s="93"/>
      <c r="E306" s="80"/>
      <c r="F306" s="78">
        <v>17</v>
      </c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>
        <f>W305*$D$289*$D$288</f>
        <v>2061.5158715757607</v>
      </c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5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E306" s="97"/>
    </row>
    <row r="307" spans="2:57" x14ac:dyDescent="0.25">
      <c r="B307" s="2" t="s">
        <v>365</v>
      </c>
      <c r="C307" s="6">
        <v>-0.5</v>
      </c>
      <c r="D307" s="93">
        <f>(1-C307)*BE339</f>
        <v>500635.91212318663</v>
      </c>
      <c r="E307" s="6">
        <f>D307/$D313</f>
        <v>0.37088974302175809</v>
      </c>
      <c r="F307" s="1">
        <v>18</v>
      </c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>
        <f>X306*$D$289*$D$288</f>
        <v>2405.1018501717208</v>
      </c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5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E307" s="97"/>
    </row>
    <row r="308" spans="2:57" x14ac:dyDescent="0.25">
      <c r="B308" s="2" t="s">
        <v>366</v>
      </c>
      <c r="C308" s="6">
        <v>-0.17699999999999999</v>
      </c>
      <c r="D308" s="93">
        <f>(1-C308)*(BD338/2)</f>
        <v>168356.70530542592</v>
      </c>
      <c r="E308" s="6">
        <f>D308/$D313</f>
        <v>0.12472492215331696</v>
      </c>
      <c r="F308" s="1">
        <v>19</v>
      </c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>
        <f>Y307*$D$289*$D$288</f>
        <v>2805.9521585336743</v>
      </c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5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E308" s="97"/>
    </row>
    <row r="309" spans="2:57" x14ac:dyDescent="0.25">
      <c r="B309" s="2" t="s">
        <v>367</v>
      </c>
      <c r="C309" s="6">
        <v>0</v>
      </c>
      <c r="D309" s="93">
        <f>(1-C309)*(BD338/2+BC337/3)</f>
        <v>224775.30748387973</v>
      </c>
      <c r="E309" s="6">
        <f>D309/$D313</f>
        <v>0.16652192543834041</v>
      </c>
      <c r="F309" s="1">
        <v>20</v>
      </c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>
        <f>Z308*$D$289*$D$288</f>
        <v>3273.61085162262</v>
      </c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5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E309" s="97"/>
    </row>
    <row r="310" spans="2:57" x14ac:dyDescent="0.25">
      <c r="B310" s="2" t="s">
        <v>368</v>
      </c>
      <c r="C310" s="6">
        <v>0.05</v>
      </c>
      <c r="D310" s="93">
        <f>(1-C310)*(BC337*2/3+BB336/3)</f>
        <v>221856.14764642675</v>
      </c>
      <c r="E310" s="6">
        <f>D310/$D313</f>
        <v>0.16435930303005025</v>
      </c>
      <c r="F310" s="1">
        <v>21</v>
      </c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>
        <f>AA309*$D$289*$D$288</f>
        <v>3819.2126602263897</v>
      </c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5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E310" s="97"/>
    </row>
    <row r="311" spans="2:57" x14ac:dyDescent="0.25">
      <c r="B311" s="2" t="s">
        <v>369</v>
      </c>
      <c r="C311" s="6">
        <v>0.1</v>
      </c>
      <c r="D311" s="93">
        <f>(1-C311)*(BB336*2/3)</f>
        <v>126107.70497796891</v>
      </c>
      <c r="E311" s="6">
        <f>D311/$D313</f>
        <v>9.3425288038133852E-2</v>
      </c>
      <c r="F311" s="1">
        <v>22</v>
      </c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>
        <f>AB310*$D$289*$D$288</f>
        <v>4455.7481035974542</v>
      </c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5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E311" s="97"/>
    </row>
    <row r="312" spans="2:57" x14ac:dyDescent="0.25">
      <c r="B312" s="2" t="s">
        <v>370</v>
      </c>
      <c r="C312" s="6">
        <v>0.4</v>
      </c>
      <c r="D312" s="93">
        <f>(1-C312)*(BA335)</f>
        <v>108092.31855254476</v>
      </c>
      <c r="E312" s="6">
        <f>D312/$D313</f>
        <v>8.0078818318400427E-2</v>
      </c>
      <c r="F312" s="1">
        <v>23</v>
      </c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>
        <f>AC311*$D$289*$D$288</f>
        <v>5198.372787530363</v>
      </c>
      <c r="AE312" s="9"/>
      <c r="AF312" s="9"/>
      <c r="AG312" s="9"/>
      <c r="AH312" s="9"/>
      <c r="AI312" s="9"/>
      <c r="AJ312" s="9"/>
      <c r="AK312" s="9"/>
      <c r="AL312" s="9"/>
      <c r="AM312" s="9"/>
      <c r="AN312" s="95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BE312" s="97"/>
    </row>
    <row r="313" spans="2:57" x14ac:dyDescent="0.25">
      <c r="B313" s="2" t="s">
        <v>371</v>
      </c>
      <c r="C313" s="2"/>
      <c r="D313" s="93">
        <f>SUM(D307:D312)</f>
        <v>1349824.0960894327</v>
      </c>
      <c r="F313" s="1">
        <v>24</v>
      </c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>
        <f>AD312*$D$289*$D$288</f>
        <v>6064.7682521187562</v>
      </c>
      <c r="AF313" s="9"/>
      <c r="AG313" s="9"/>
      <c r="AH313" s="9"/>
      <c r="AI313" s="9"/>
      <c r="AJ313" s="9"/>
      <c r="AK313" s="9"/>
      <c r="AL313" s="9"/>
      <c r="AM313" s="9"/>
      <c r="AN313" s="95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BE313" s="97"/>
    </row>
    <row r="314" spans="2:57" x14ac:dyDescent="0.25">
      <c r="F314" s="1">
        <v>25</v>
      </c>
      <c r="AF314" s="9">
        <f>AE313*$D$289*$D$288</f>
        <v>7075.562960805215</v>
      </c>
      <c r="AN314" s="96"/>
      <c r="BE314" s="97"/>
    </row>
    <row r="315" spans="2:57" x14ac:dyDescent="0.25">
      <c r="B315" s="2" t="s">
        <v>350</v>
      </c>
      <c r="C315" s="2" t="s">
        <v>349</v>
      </c>
      <c r="D315" s="93" t="s">
        <v>8</v>
      </c>
      <c r="F315" s="1">
        <v>26</v>
      </c>
      <c r="AG315" s="9">
        <f>AF314*$D$289*$D$288</f>
        <v>8254.8234542727496</v>
      </c>
      <c r="AN315" s="96"/>
      <c r="BE315" s="97"/>
    </row>
    <row r="316" spans="2:57" x14ac:dyDescent="0.25">
      <c r="B316" s="2">
        <v>200</v>
      </c>
      <c r="C316" s="88" t="str">
        <f>ROUND((B316-$M$15)/$N$15+0.5,1) &amp;" to "&amp; ROUND(B316/$N$15-0.5,1)</f>
        <v>12.6 to 16.2</v>
      </c>
      <c r="D316" s="93">
        <f>SUMPRODUCT($G$289*($D$288*$D$289)^({12.6,13.6,14.6,15.6,16.2}))</f>
        <v>7174.5023895472796</v>
      </c>
      <c r="F316" s="1">
        <v>27</v>
      </c>
      <c r="AH316" s="9">
        <f>AG315*$D$289*$D$288</f>
        <v>9630.6273633182063</v>
      </c>
      <c r="AN316" s="96"/>
      <c r="BE316" s="97"/>
    </row>
    <row r="317" spans="2:57" x14ac:dyDescent="0.25">
      <c r="B317" s="2">
        <v>400</v>
      </c>
      <c r="C317" s="88" t="str">
        <f>ROUND((B317-$M$15)/$N$15+0.5,1) &amp;" to "&amp; ROUND(B317/$N$15-0.5,1)</f>
        <v>29.3 to 32.8</v>
      </c>
      <c r="D317" s="93">
        <f>SUMPRODUCT($G$289*($D$288*$D$289)^({29.3,30.3,31.3,32.3,32.8}))</f>
        <v>93780.482068248719</v>
      </c>
      <c r="F317" s="1">
        <v>28</v>
      </c>
      <c r="AI317" s="9">
        <f>AH316*$D$289*$D$288</f>
        <v>11235.731923871241</v>
      </c>
      <c r="AN317" s="96"/>
      <c r="BE317" s="97"/>
    </row>
    <row r="318" spans="2:57" x14ac:dyDescent="0.25">
      <c r="B318" s="2">
        <v>600</v>
      </c>
      <c r="C318" s="88" t="str">
        <f>ROUND((B318-$M$15)/$N$15+0.5,1) &amp;" to "&amp; ROUND(B318/$N$15-0.5,1)</f>
        <v>45.9 to 49.5</v>
      </c>
      <c r="D318" s="93">
        <f>SUMPRODUCT($G$289*($D$288*$D$289)^({45.9,46.9,47.9,48.9,49.5}))</f>
        <v>1216521.7535155625</v>
      </c>
      <c r="F318" s="1">
        <v>29</v>
      </c>
      <c r="AJ318" s="9">
        <f>AI317*$D$289*$D$288</f>
        <v>13108.353911183114</v>
      </c>
      <c r="AN318" s="96"/>
      <c r="BE318" s="97"/>
    </row>
    <row r="319" spans="2:57" x14ac:dyDescent="0.25">
      <c r="B319" s="2">
        <v>1200</v>
      </c>
      <c r="C319" s="88" t="str">
        <f>ROUND((B319-$M$15)/$N$15+0.5,1) &amp;" to "&amp; ROUND(B319/$N$15-0.5,1)</f>
        <v>95.9 to 99.5</v>
      </c>
      <c r="D319" s="93">
        <f>SUMPRODUCT($G$289*($D$288*$D$289)^({95.9,96.9,97.9,98.9,99.5}))</f>
        <v>2706819900.8398213</v>
      </c>
      <c r="F319" s="1">
        <v>30</v>
      </c>
      <c r="AK319" s="9">
        <f>AJ318*$D$289*$D$288</f>
        <v>15293.079563046966</v>
      </c>
      <c r="AN319" s="96"/>
      <c r="BE319" s="97"/>
    </row>
    <row r="320" spans="2:57" x14ac:dyDescent="0.25">
      <c r="B320" s="2">
        <v>3800</v>
      </c>
      <c r="C320" s="88" t="str">
        <f>ROUND((B320-$M$15)/$N$15+0.5,1) &amp;" to "&amp; ROUND(B320/$N$15-0.5,1)</f>
        <v>312.6 to 316.2</v>
      </c>
      <c r="D320" s="93">
        <f>SUMPRODUCT($G$289*($D$288*$D$289)^({312.6,313.6,314.6,315.6,316.2}))</f>
        <v>8.7062006846137507E+23</v>
      </c>
      <c r="F320" s="1">
        <v>31</v>
      </c>
      <c r="AL320" s="9">
        <f>AK319*$D$289*$D$288</f>
        <v>17841.926156888127</v>
      </c>
      <c r="AN320" s="95"/>
      <c r="BE320" s="97"/>
    </row>
    <row r="321" spans="2:57" x14ac:dyDescent="0.25">
      <c r="F321" s="1">
        <v>32</v>
      </c>
      <c r="AM321" s="9">
        <f>AL320*$D$289*$D$288</f>
        <v>20815.580516369479</v>
      </c>
      <c r="AN321" s="96"/>
      <c r="BE321" s="97"/>
    </row>
    <row r="322" spans="2:57" x14ac:dyDescent="0.25">
      <c r="C322" s="9">
        <f>100*D287</f>
        <v>850</v>
      </c>
      <c r="F322" s="96">
        <v>33</v>
      </c>
      <c r="G322" s="96"/>
      <c r="H322" s="96"/>
      <c r="I322" s="96"/>
      <c r="J322" s="96"/>
      <c r="K322" s="96"/>
      <c r="L322" s="96"/>
      <c r="M322" s="96"/>
      <c r="N322" s="96"/>
      <c r="O322" s="96"/>
      <c r="P322" s="96"/>
      <c r="Q322" s="96"/>
      <c r="R322" s="96"/>
      <c r="S322" s="96"/>
      <c r="T322" s="96"/>
      <c r="U322" s="96"/>
      <c r="V322" s="96"/>
      <c r="W322" s="96"/>
      <c r="X322" s="96"/>
      <c r="Y322" s="96"/>
      <c r="Z322" s="96"/>
      <c r="AA322" s="96"/>
      <c r="AB322" s="96"/>
      <c r="AC322" s="96"/>
      <c r="AD322" s="96"/>
      <c r="AE322" s="96"/>
      <c r="AF322" s="96"/>
      <c r="AG322" s="96"/>
      <c r="AH322" s="96"/>
      <c r="AI322" s="96"/>
      <c r="AJ322" s="96"/>
      <c r="AK322" s="96"/>
      <c r="AL322" s="96"/>
      <c r="AM322" s="96"/>
      <c r="AN322" s="95">
        <f>AM321*$D$289*$D$288</f>
        <v>24284.843935764391</v>
      </c>
      <c r="BE322" s="97"/>
    </row>
    <row r="323" spans="2:57" x14ac:dyDescent="0.25">
      <c r="B323" s="2" t="s">
        <v>278</v>
      </c>
      <c r="C323" s="9">
        <f>C322*(1+C291)</f>
        <v>425</v>
      </c>
      <c r="D323" s="2" t="str">
        <f>ROUND((1-C291)*C322-C322,0)&amp;" die as children"</f>
        <v>425 die as children</v>
      </c>
      <c r="E323" s="6">
        <f>(C322-C323)/C322</f>
        <v>0.5</v>
      </c>
      <c r="F323" s="1">
        <v>34</v>
      </c>
      <c r="AO323" s="9">
        <f>AN322*$D$289*$D$288</f>
        <v>28332.317925058458</v>
      </c>
      <c r="BE323" s="97"/>
    </row>
    <row r="324" spans="2:57" x14ac:dyDescent="0.25">
      <c r="B324" s="2" t="s">
        <v>383</v>
      </c>
      <c r="C324" s="9">
        <f>C323*(1+C292)</f>
        <v>349.77499999999998</v>
      </c>
      <c r="D324" s="2" t="str">
        <f>ROUND((1-C292)*C323-C323,0)&amp;" die before being able to procreate"</f>
        <v>75 die before being able to procreate</v>
      </c>
      <c r="E324" s="6">
        <f>(C323-C324)/C322</f>
        <v>8.8500000000000023E-2</v>
      </c>
      <c r="F324" s="1">
        <v>35</v>
      </c>
      <c r="AP324" s="9">
        <f>AO323*$D$289*$D$288</f>
        <v>33054.3709125682</v>
      </c>
      <c r="BE324" s="97"/>
    </row>
    <row r="325" spans="2:57" x14ac:dyDescent="0.25">
      <c r="B325" s="2" t="s">
        <v>384</v>
      </c>
      <c r="C325" s="9">
        <f>C324</f>
        <v>349.77499999999998</v>
      </c>
      <c r="D325" s="2" t="str">
        <f>ROUND(C325-(1-C293)*C325,0)&amp;" die before being mature"</f>
        <v>0 die before being mature</v>
      </c>
      <c r="E325" s="6">
        <f>(C324-C325)/C322</f>
        <v>0</v>
      </c>
      <c r="F325" s="1">
        <v>36</v>
      </c>
      <c r="AQ325" s="9">
        <f>AP324*$D$289*$D$288</f>
        <v>38563.432731329565</v>
      </c>
      <c r="BE325" s="97"/>
    </row>
    <row r="326" spans="2:57" x14ac:dyDescent="0.25">
      <c r="B326" s="2" t="s">
        <v>280</v>
      </c>
      <c r="C326" s="9">
        <f>C325*(1-C293)</f>
        <v>349.77499999999998</v>
      </c>
      <c r="D326" s="2" t="str">
        <f>ROUND(C326-(1-C294)*C326,0)&amp;" die before being middle-age"</f>
        <v>17 die before being middle-age</v>
      </c>
      <c r="E326" s="6">
        <f>(C326-C327)/C322</f>
        <v>2.0575000000000045E-2</v>
      </c>
      <c r="F326" s="1">
        <v>37</v>
      </c>
      <c r="AR326" s="9">
        <f>AQ325*$D$289*$D$288</f>
        <v>44990.67151988449</v>
      </c>
      <c r="BE326" s="97"/>
    </row>
    <row r="327" spans="2:57" x14ac:dyDescent="0.25">
      <c r="B327" s="2" t="s">
        <v>281</v>
      </c>
      <c r="C327" s="9">
        <f>C326*(1-C294)</f>
        <v>332.28624999999994</v>
      </c>
      <c r="D327" s="2" t="str">
        <f>ROUND(C327-(1-C295)*C327,0)&amp;" die before being old"</f>
        <v>33 die before being old</v>
      </c>
      <c r="E327" s="6">
        <f>(C327-C328)/C322</f>
        <v>3.9092499999999961E-2</v>
      </c>
      <c r="F327" s="1">
        <v>38</v>
      </c>
      <c r="AS327" s="9">
        <f>AR326*$D$289*$D$288</f>
        <v>52489.11677319857</v>
      </c>
      <c r="BE327" s="97"/>
    </row>
    <row r="328" spans="2:57" x14ac:dyDescent="0.25">
      <c r="B328" s="2" t="s">
        <v>375</v>
      </c>
      <c r="C328" s="9">
        <f>C327*(1-C295)</f>
        <v>299.05762499999997</v>
      </c>
      <c r="D328" s="2" t="str">
        <f>ROUND(C328-(1-C296)*C328,0)&amp;" die before being venerable"</f>
        <v>120 die before being venerable</v>
      </c>
      <c r="E328" s="6">
        <f>(C328-C329)/C322</f>
        <v>0.140733</v>
      </c>
      <c r="F328" s="1">
        <v>39</v>
      </c>
      <c r="AT328" s="9">
        <f>AS327*$D$289*$D$288</f>
        <v>61237.302902064992</v>
      </c>
      <c r="BE328" s="97"/>
    </row>
    <row r="329" spans="2:57" x14ac:dyDescent="0.25">
      <c r="B329" s="2" t="s">
        <v>283</v>
      </c>
      <c r="C329" s="9">
        <f>C328*(1-C296)</f>
        <v>179.43457499999997</v>
      </c>
      <c r="E329" s="6">
        <f>C329/C322</f>
        <v>0.21109949999999997</v>
      </c>
      <c r="F329" s="1">
        <v>40</v>
      </c>
      <c r="AU329" s="9">
        <f>AT328*$D$289*$D$288</f>
        <v>71443.520052409149</v>
      </c>
      <c r="BE329" s="97"/>
    </row>
    <row r="330" spans="2:57" x14ac:dyDescent="0.25">
      <c r="F330" s="1">
        <v>41</v>
      </c>
      <c r="AV330" s="9">
        <f>AU329*$D$289*$D$288</f>
        <v>83350.773394477335</v>
      </c>
      <c r="BE330" s="97"/>
    </row>
    <row r="331" spans="2:57" x14ac:dyDescent="0.25">
      <c r="F331" s="1">
        <v>42</v>
      </c>
      <c r="AW331" s="9">
        <f>AV330*$D$289*$D$288</f>
        <v>97242.568960223551</v>
      </c>
      <c r="BE331" s="97"/>
    </row>
    <row r="332" spans="2:57" x14ac:dyDescent="0.25">
      <c r="F332" s="1">
        <v>43</v>
      </c>
      <c r="AX332" s="9">
        <f>AW331*$D$289*$D$288</f>
        <v>113449.66378692747</v>
      </c>
      <c r="BE332" s="97"/>
    </row>
    <row r="333" spans="2:57" x14ac:dyDescent="0.25">
      <c r="F333" s="1">
        <v>44</v>
      </c>
      <c r="AY333" s="9">
        <f>AX332*$D$289*$D$288</f>
        <v>132357.94108474872</v>
      </c>
      <c r="BE333" s="97"/>
    </row>
    <row r="334" spans="2:57" x14ac:dyDescent="0.25">
      <c r="F334" s="1">
        <v>45</v>
      </c>
      <c r="AZ334" s="9">
        <f>AY333*$D$289*$D$288</f>
        <v>154417.59793220682</v>
      </c>
      <c r="BE334" s="97"/>
    </row>
    <row r="335" spans="2:57" x14ac:dyDescent="0.25">
      <c r="F335" s="1">
        <v>46</v>
      </c>
      <c r="BA335" s="9">
        <f>AZ334*$D$289*$D$288</f>
        <v>180153.86425424129</v>
      </c>
      <c r="BE335" s="97"/>
    </row>
    <row r="336" spans="2:57" x14ac:dyDescent="0.25">
      <c r="F336" s="1">
        <v>47</v>
      </c>
      <c r="BB336" s="9">
        <f>BA335*$D$289*$D$288</f>
        <v>210179.50829661483</v>
      </c>
      <c r="BE336" s="97"/>
    </row>
    <row r="337" spans="6:57" x14ac:dyDescent="0.25">
      <c r="F337" s="1">
        <v>48</v>
      </c>
      <c r="BC337" s="9">
        <f>BB336*$D$289*$D$288</f>
        <v>245209.4263460506</v>
      </c>
      <c r="BE337" s="97"/>
    </row>
    <row r="338" spans="6:57" x14ac:dyDescent="0.25">
      <c r="F338" s="1">
        <v>49</v>
      </c>
      <c r="BD338" s="9">
        <f>BC337*$D$289*$D$288</f>
        <v>286077.66407039238</v>
      </c>
      <c r="BE338" s="97"/>
    </row>
    <row r="339" spans="6:57" x14ac:dyDescent="0.25">
      <c r="F339" s="97">
        <v>50</v>
      </c>
      <c r="G339" s="97"/>
      <c r="H339" s="97"/>
      <c r="I339" s="97"/>
      <c r="J339" s="97"/>
      <c r="K339" s="97"/>
      <c r="L339" s="97"/>
      <c r="M339" s="97"/>
      <c r="N339" s="97"/>
      <c r="O339" s="97"/>
      <c r="P339" s="97"/>
      <c r="Q339" s="97"/>
      <c r="R339" s="97"/>
      <c r="S339" s="97"/>
      <c r="T339" s="97"/>
      <c r="U339" s="97"/>
      <c r="V339" s="97"/>
      <c r="W339" s="97"/>
      <c r="X339" s="97"/>
      <c r="Y339" s="97"/>
      <c r="Z339" s="97"/>
      <c r="AA339" s="97"/>
      <c r="AB339" s="97"/>
      <c r="AC339" s="97"/>
      <c r="AD339" s="97"/>
      <c r="AE339" s="97"/>
      <c r="AF339" s="97"/>
      <c r="AG339" s="97"/>
      <c r="AH339" s="97"/>
      <c r="AI339" s="97"/>
      <c r="AJ339" s="97"/>
      <c r="AK339" s="97"/>
      <c r="AL339" s="97"/>
      <c r="AM339" s="97"/>
      <c r="AN339" s="97"/>
      <c r="AO339" s="97"/>
      <c r="AP339" s="97"/>
      <c r="AQ339" s="97"/>
      <c r="AR339" s="97"/>
      <c r="AS339" s="97"/>
      <c r="AT339" s="97"/>
      <c r="AU339" s="97"/>
      <c r="AV339" s="97"/>
      <c r="AW339" s="97"/>
      <c r="AX339" s="97"/>
      <c r="AY339" s="97"/>
      <c r="AZ339" s="97"/>
      <c r="BA339" s="97"/>
      <c r="BB339" s="97"/>
      <c r="BC339" s="97"/>
      <c r="BD339" s="97"/>
      <c r="BE339" s="98">
        <f>BD338*$D$289*$D$288</f>
        <v>333757.27474879107</v>
      </c>
    </row>
    <row r="344" spans="6:57" ht="13" x14ac:dyDescent="0.25">
      <c r="AV344" s="105"/>
      <c r="AW344" s="106"/>
      <c r="AX344" s="106"/>
      <c r="AY344" s="106"/>
      <c r="AZ344" s="106"/>
      <c r="BA344" s="106"/>
      <c r="BB344" s="106"/>
      <c r="BC344" s="107"/>
    </row>
    <row r="345" spans="6:57" ht="13" x14ac:dyDescent="0.25">
      <c r="AT345" s="6"/>
      <c r="AV345" s="108"/>
      <c r="AW345" s="109"/>
      <c r="AX345" s="109"/>
      <c r="AY345" s="109"/>
      <c r="AZ345" s="109"/>
      <c r="BA345" s="109"/>
      <c r="BB345" s="109"/>
      <c r="BC345" s="110"/>
    </row>
    <row r="346" spans="6:57" ht="13" x14ac:dyDescent="0.25">
      <c r="AT346" s="6"/>
      <c r="AV346" s="108"/>
      <c r="AW346" s="109"/>
      <c r="AX346" s="109"/>
      <c r="AY346" s="109"/>
      <c r="AZ346" s="109"/>
      <c r="BA346" s="109"/>
      <c r="BB346" s="109"/>
      <c r="BC346" s="110"/>
    </row>
    <row r="347" spans="6:57" ht="13" x14ac:dyDescent="0.25">
      <c r="AT347" s="6"/>
      <c r="AV347" s="108"/>
      <c r="AW347" s="109"/>
      <c r="AX347" s="109"/>
      <c r="AY347" s="109"/>
      <c r="AZ347" s="109"/>
      <c r="BA347" s="109"/>
      <c r="BB347" s="109"/>
      <c r="BC347" s="110"/>
    </row>
    <row r="348" spans="6:57" ht="13" x14ac:dyDescent="0.25">
      <c r="AT348" s="6"/>
      <c r="AV348" s="108"/>
      <c r="AW348" s="109"/>
      <c r="AX348" s="109"/>
      <c r="AY348" s="109"/>
      <c r="AZ348" s="109"/>
      <c r="BA348" s="109"/>
      <c r="BB348" s="109"/>
      <c r="BC348" s="110"/>
    </row>
    <row r="349" spans="6:57" ht="13" x14ac:dyDescent="0.25">
      <c r="AT349" s="6"/>
      <c r="AV349" s="108"/>
      <c r="AW349" s="109"/>
      <c r="AX349" s="109"/>
      <c r="AY349" s="109"/>
      <c r="AZ349" s="109"/>
      <c r="BA349" s="109"/>
      <c r="BB349" s="109"/>
      <c r="BC349" s="110"/>
    </row>
    <row r="350" spans="6:57" ht="13" x14ac:dyDescent="0.25">
      <c r="AT350" s="6"/>
      <c r="AV350" s="108"/>
      <c r="AW350" s="109"/>
      <c r="AX350" s="109"/>
      <c r="AY350" s="109"/>
      <c r="AZ350" s="109"/>
      <c r="BA350" s="109"/>
      <c r="BB350" s="109"/>
      <c r="BC350" s="110"/>
    </row>
    <row r="351" spans="6:57" x14ac:dyDescent="0.25">
      <c r="AV351" s="107"/>
      <c r="AW351" s="107"/>
      <c r="AX351" s="107"/>
      <c r="AY351" s="107"/>
      <c r="AZ351" s="107"/>
      <c r="BA351" s="107"/>
      <c r="BB351" s="107"/>
      <c r="BC351" s="107"/>
    </row>
  </sheetData>
  <phoneticPr fontId="27" type="noConversion"/>
  <pageMargins left="0.7" right="0.7" top="0.75" bottom="0.75" header="0.3" footer="0.3"/>
  <pageSetup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C8299-009B-43AF-A8F2-472BBFEE14B4}">
  <dimension ref="B3:F14"/>
  <sheetViews>
    <sheetView workbookViewId="0">
      <selection activeCell="F12" sqref="F4:F12"/>
    </sheetView>
  </sheetViews>
  <sheetFormatPr defaultRowHeight="14.5" x14ac:dyDescent="0.35"/>
  <sheetData>
    <row r="3" spans="2:6" x14ac:dyDescent="0.35">
      <c r="B3" s="94">
        <f>SUMPRODUCT(100*(1.25^({1,2,3,4,5,6,7,8,9,10})))</f>
        <v>4156.6128730773926</v>
      </c>
    </row>
    <row r="4" spans="2:6" x14ac:dyDescent="0.35">
      <c r="C4">
        <v>100</v>
      </c>
      <c r="D4">
        <v>1</v>
      </c>
      <c r="E4">
        <v>1.25</v>
      </c>
      <c r="F4" s="94">
        <f>C4*E4</f>
        <v>125</v>
      </c>
    </row>
    <row r="5" spans="2:6" x14ac:dyDescent="0.35">
      <c r="C5">
        <v>100</v>
      </c>
      <c r="D5">
        <v>2</v>
      </c>
      <c r="E5">
        <f>1.25^D5</f>
        <v>1.5625</v>
      </c>
      <c r="F5" s="94">
        <f t="shared" ref="F5:F13" si="0">C5*E5</f>
        <v>156.25</v>
      </c>
    </row>
    <row r="6" spans="2:6" x14ac:dyDescent="0.35">
      <c r="C6">
        <v>100</v>
      </c>
      <c r="D6">
        <v>3</v>
      </c>
      <c r="E6">
        <f t="shared" ref="E6:E13" si="1">1.25^D6</f>
        <v>1.953125</v>
      </c>
      <c r="F6" s="94">
        <f t="shared" si="0"/>
        <v>195.3125</v>
      </c>
    </row>
    <row r="7" spans="2:6" x14ac:dyDescent="0.35">
      <c r="C7">
        <v>100</v>
      </c>
      <c r="D7">
        <v>4</v>
      </c>
      <c r="E7">
        <f t="shared" si="1"/>
        <v>2.44140625</v>
      </c>
      <c r="F7" s="94">
        <f t="shared" si="0"/>
        <v>244.140625</v>
      </c>
    </row>
    <row r="8" spans="2:6" x14ac:dyDescent="0.35">
      <c r="C8">
        <v>100</v>
      </c>
      <c r="D8">
        <v>5</v>
      </c>
      <c r="E8">
        <f t="shared" si="1"/>
        <v>3.0517578125</v>
      </c>
      <c r="F8" s="94">
        <f t="shared" si="0"/>
        <v>305.17578125</v>
      </c>
    </row>
    <row r="9" spans="2:6" x14ac:dyDescent="0.35">
      <c r="C9">
        <v>100</v>
      </c>
      <c r="D9">
        <v>6</v>
      </c>
      <c r="E9">
        <f t="shared" si="1"/>
        <v>3.814697265625</v>
      </c>
      <c r="F9" s="94">
        <f t="shared" si="0"/>
        <v>381.4697265625</v>
      </c>
    </row>
    <row r="10" spans="2:6" x14ac:dyDescent="0.35">
      <c r="C10">
        <v>100</v>
      </c>
      <c r="D10">
        <v>7</v>
      </c>
      <c r="E10">
        <f t="shared" si="1"/>
        <v>4.76837158203125</v>
      </c>
      <c r="F10" s="94">
        <f t="shared" si="0"/>
        <v>476.837158203125</v>
      </c>
    </row>
    <row r="11" spans="2:6" x14ac:dyDescent="0.35">
      <c r="C11">
        <v>100</v>
      </c>
      <c r="D11">
        <v>8</v>
      </c>
      <c r="E11">
        <f t="shared" si="1"/>
        <v>5.9604644775390625</v>
      </c>
      <c r="F11" s="94">
        <f t="shared" si="0"/>
        <v>596.04644775390625</v>
      </c>
    </row>
    <row r="12" spans="2:6" x14ac:dyDescent="0.35">
      <c r="C12">
        <v>100</v>
      </c>
      <c r="D12">
        <v>9</v>
      </c>
      <c r="E12">
        <f t="shared" si="1"/>
        <v>7.4505805969238281</v>
      </c>
      <c r="F12" s="94">
        <f t="shared" si="0"/>
        <v>745.05805969238281</v>
      </c>
    </row>
    <row r="13" spans="2:6" x14ac:dyDescent="0.35">
      <c r="C13">
        <v>100</v>
      </c>
      <c r="D13">
        <v>10</v>
      </c>
      <c r="E13">
        <f t="shared" si="1"/>
        <v>9.3132257461547852</v>
      </c>
      <c r="F13" s="94">
        <f t="shared" si="0"/>
        <v>931.32257461547852</v>
      </c>
    </row>
    <row r="14" spans="2:6" x14ac:dyDescent="0.35">
      <c r="F14" s="94">
        <f>SUM(F4:F13)</f>
        <v>4156.6128730773926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Oerth demographics</vt:lpstr>
      <vt:lpstr>Area</vt:lpstr>
      <vt:lpstr>Density</vt:lpstr>
      <vt:lpstr>Revised populations</vt:lpstr>
      <vt:lpstr>Population by age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Troy Alleman</cp:lastModifiedBy>
  <dcterms:created xsi:type="dcterms:W3CDTF">2021-09-29T15:54:28Z</dcterms:created>
  <dcterms:modified xsi:type="dcterms:W3CDTF">2025-01-21T02:38:54Z</dcterms:modified>
</cp:coreProperties>
</file>